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ate1904="1" showInkAnnotation="0" autoCompressPictures="0"/>
  <mc:AlternateContent xmlns:mc="http://schemas.openxmlformats.org/markup-compatibility/2006">
    <mc:Choice Requires="x15">
      <x15ac:absPath xmlns:x15ac="http://schemas.microsoft.com/office/spreadsheetml/2010/11/ac" url="/Users/tove/Documents/Lønberegninger/22-23/Ferieberegner/"/>
    </mc:Choice>
  </mc:AlternateContent>
  <xr:revisionPtr revIDLastSave="0" documentId="8_{C558AA48-071D-834D-95B0-B8A4D5331CC4}" xr6:coauthVersionLast="47" xr6:coauthVersionMax="47" xr10:uidLastSave="{00000000-0000-0000-0000-000000000000}"/>
  <bookViews>
    <workbookView xWindow="0" yWindow="500" windowWidth="27980" windowHeight="17500" tabRatio="500" activeTab="2" xr2:uid="{00000000-000D-0000-FFFF-FFFF00000000}"/>
  </bookViews>
  <sheets>
    <sheet name="Vejledning beregning ferieløn" sheetId="2" state="hidden" r:id="rId1"/>
    <sheet name="Eksempel-feriefradrag" sheetId="5" r:id="rId2"/>
    <sheet name="Tomt regneark" sheetId="15" r:id="rId3"/>
    <sheet name="Vejledning feriepengeafregning" sheetId="14" state="hidden" r:id="rId4"/>
    <sheet name="afregning af feriepenge" sheetId="13" state="hidden" r:id="rId5"/>
    <sheet name="SH-dage" sheetId="10" state="hidden" r:id="rId6"/>
  </sheets>
  <definedNames>
    <definedName name="lontabel">#REF!</definedName>
    <definedName name="procentregulering">#REF!</definedName>
    <definedName name="_xlnm.Print_Area" localSheetId="4">'afregning af feriepenge'!$B$1:$I$65</definedName>
    <definedName name="_xlnm.Print_Area" localSheetId="1">'Eksempel-feriefradrag'!$A$1:$G$46</definedName>
    <definedName name="_xlnm.Print_Area" localSheetId="2">'Tomt regneark'!$A$1:$G$46</definedName>
    <definedName name="_xlnm.Print_Area" localSheetId="3">'Vejledning feriepengeafregning'!$A$1:$K$62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7" i="5" l="1"/>
  <c r="A43" i="15"/>
  <c r="B37" i="15"/>
  <c r="D36" i="15"/>
  <c r="D35" i="15"/>
  <c r="D34" i="15"/>
  <c r="D32" i="15"/>
  <c r="D29" i="15"/>
  <c r="D27" i="15"/>
  <c r="D26" i="15"/>
  <c r="D25" i="15"/>
  <c r="D24" i="15"/>
  <c r="D23" i="15"/>
  <c r="D22" i="15"/>
  <c r="D20" i="15"/>
  <c r="D19" i="15"/>
  <c r="D18" i="15"/>
  <c r="D17" i="15"/>
  <c r="D16" i="15"/>
  <c r="D15" i="15"/>
  <c r="D13" i="15"/>
  <c r="A11" i="15"/>
  <c r="C8" i="15"/>
  <c r="A1" i="15"/>
  <c r="D37" i="15" l="1"/>
  <c r="F46" i="15" s="1"/>
  <c r="F44" i="15"/>
  <c r="F45" i="15" s="1"/>
  <c r="A11" i="5"/>
  <c r="A1" i="5"/>
  <c r="A43" i="5"/>
  <c r="I58" i="13" l="1"/>
  <c r="I51" i="13"/>
  <c r="I44" i="13"/>
  <c r="I37" i="13"/>
  <c r="B58" i="13"/>
  <c r="B51" i="13"/>
  <c r="B44" i="13"/>
  <c r="B37" i="13"/>
  <c r="D23" i="5" l="1"/>
  <c r="D22" i="5"/>
  <c r="B29" i="13" l="1"/>
  <c r="I10" i="13"/>
  <c r="I11" i="13"/>
  <c r="I12" i="13"/>
  <c r="I13" i="13"/>
  <c r="I14" i="13"/>
  <c r="I15" i="13"/>
  <c r="I26" i="13"/>
  <c r="H10" i="13"/>
  <c r="H8" i="13"/>
  <c r="I8" i="13"/>
  <c r="H12" i="13"/>
  <c r="H11" i="13"/>
  <c r="H13" i="13"/>
  <c r="H14" i="13"/>
  <c r="H15" i="13"/>
  <c r="I63" i="13"/>
  <c r="B52" i="13"/>
  <c r="B45" i="13"/>
  <c r="B38" i="13"/>
  <c r="B31" i="13"/>
  <c r="B34" i="13"/>
  <c r="B65" i="13"/>
  <c r="I22" i="13"/>
  <c r="B62" i="13"/>
  <c r="B20" i="13"/>
  <c r="B7" i="13"/>
  <c r="B19" i="13"/>
  <c r="B18" i="13"/>
  <c r="B1" i="13"/>
  <c r="B63" i="13"/>
  <c r="B24" i="13"/>
  <c r="B22" i="13"/>
  <c r="B30" i="13"/>
  <c r="B61" i="13"/>
  <c r="B60" i="13"/>
  <c r="B28" i="13"/>
  <c r="B26" i="13"/>
  <c r="F32" i="13"/>
  <c r="B56" i="13"/>
  <c r="B55" i="13"/>
  <c r="F53" i="13"/>
  <c r="B49" i="13"/>
  <c r="B48" i="13"/>
  <c r="F46" i="13"/>
  <c r="B42" i="13"/>
  <c r="B41" i="13"/>
  <c r="F39" i="13"/>
  <c r="B35" i="13"/>
  <c r="D13" i="5"/>
  <c r="D16" i="5"/>
  <c r="D18" i="5"/>
  <c r="D19" i="5"/>
  <c r="D24" i="5"/>
  <c r="D15" i="5"/>
  <c r="D17" i="5"/>
  <c r="D20" i="5"/>
  <c r="D25" i="5"/>
  <c r="D26" i="5"/>
  <c r="D27" i="5"/>
  <c r="D29" i="5"/>
  <c r="D32" i="5"/>
  <c r="D34" i="5"/>
  <c r="D35" i="5"/>
  <c r="D36" i="5"/>
  <c r="C8" i="5"/>
  <c r="C16" i="10"/>
  <c r="F16" i="10" s="1"/>
  <c r="I16" i="10" s="1"/>
  <c r="D16" i="10"/>
  <c r="E16" i="10"/>
  <c r="O16" i="10"/>
  <c r="P16" i="10"/>
  <c r="C17" i="10"/>
  <c r="F17" i="10" s="1"/>
  <c r="I17" i="10" s="1"/>
  <c r="D17" i="10"/>
  <c r="E17" i="10"/>
  <c r="O17" i="10"/>
  <c r="P17" i="10"/>
  <c r="C18" i="10"/>
  <c r="D18" i="10"/>
  <c r="E18" i="10"/>
  <c r="F18" i="10"/>
  <c r="I18" i="10" s="1"/>
  <c r="O18" i="10"/>
  <c r="P18" i="10"/>
  <c r="C19" i="10"/>
  <c r="D19" i="10"/>
  <c r="E19" i="10"/>
  <c r="O19" i="10"/>
  <c r="P19" i="10"/>
  <c r="F19" i="10" l="1"/>
  <c r="I19" i="10" s="1"/>
  <c r="K19" i="10" s="1"/>
  <c r="L19" i="10" s="1"/>
  <c r="D37" i="5"/>
  <c r="F44" i="5" s="1"/>
  <c r="F45" i="5" s="1"/>
  <c r="I60" i="13"/>
  <c r="I16" i="13"/>
  <c r="I17" i="13" s="1"/>
  <c r="F24" i="13" s="1"/>
  <c r="H16" i="13"/>
  <c r="H17" i="13" s="1"/>
  <c r="F18" i="13" s="1"/>
  <c r="K17" i="10"/>
  <c r="L17" i="10" s="1"/>
  <c r="J17" i="10"/>
  <c r="K16" i="10"/>
  <c r="L16" i="10" s="1"/>
  <c r="J16" i="10"/>
  <c r="J18" i="10"/>
  <c r="K18" i="10"/>
  <c r="L18" i="10" s="1"/>
  <c r="F46" i="5" l="1"/>
  <c r="J19" i="10"/>
  <c r="F20" i="13"/>
  <c r="I61" i="13"/>
  <c r="I18" i="13"/>
  <c r="I65" i="13"/>
  <c r="J20" i="10"/>
  <c r="J26" i="13" l="1"/>
  <c r="J31" i="13"/>
  <c r="J22" i="13"/>
  <c r="J19" i="13"/>
  <c r="J29" i="13"/>
  <c r="J25" i="13"/>
  <c r="J52" i="13"/>
  <c r="J18" i="13"/>
  <c r="J24" i="13"/>
  <c r="J28" i="13"/>
  <c r="J45" i="13"/>
  <c r="I62" i="13"/>
  <c r="I64" i="13" s="1"/>
  <c r="J3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Tove Dohn</author>
  </authors>
  <commentList>
    <comment ref="D13" authorId="0" shapeId="0" xr:uid="{2409926D-F71B-2F43-BA05-246116C5F0DB}">
      <text>
        <r>
          <rPr>
            <b/>
            <sz val="10"/>
            <color rgb="FF000000"/>
            <rFont val="Tahoma"/>
            <family val="2"/>
          </rPr>
          <t>Tove Dohn:</t>
        </r>
        <r>
          <rPr>
            <sz val="10"/>
            <color rgb="FF000000"/>
            <rFont val="Tahoma"/>
            <family val="2"/>
          </rPr>
          <t xml:space="preserve">
</t>
        </r>
        <r>
          <rPr>
            <sz val="10"/>
            <color rgb="FF000000"/>
            <rFont val="Tahoma"/>
            <family val="2"/>
          </rPr>
          <t>Oplys i de gule felter alle de løndele der falder fast hver måned, og om de er pensionberettiget. VIGTIGT AT LØNNEN AFSPEJLER EN HEL MÅNEDSLØN.</t>
        </r>
      </text>
    </comment>
    <comment ref="F44" authorId="0" shapeId="0" xr:uid="{A1C37264-9B59-524A-9378-37FD4CF567C1}">
      <text>
        <r>
          <rPr>
            <b/>
            <sz val="10"/>
            <color rgb="FF000000"/>
            <rFont val="Tahoma"/>
            <family val="2"/>
          </rPr>
          <t>Tove Dohn:</t>
        </r>
        <r>
          <rPr>
            <sz val="10"/>
            <color rgb="FF000000"/>
            <rFont val="Tahoma"/>
            <family val="2"/>
          </rPr>
          <t xml:space="preserve">
</t>
        </r>
        <r>
          <rPr>
            <sz val="10"/>
            <color rgb="FF000000"/>
            <rFont val="Tahoma"/>
            <family val="2"/>
          </rPr>
          <t xml:space="preserve">Her oplyses feriefradraget for de feriedage der afvikles med lønret. </t>
        </r>
      </text>
    </comment>
  </commentList>
</comments>
</file>

<file path=xl/sharedStrings.xml><?xml version="1.0" encoding="utf-8"?>
<sst xmlns="http://schemas.openxmlformats.org/spreadsheetml/2006/main" count="285" uniqueCount="188">
  <si>
    <t>udligningstillæg</t>
  </si>
  <si>
    <t>antal mdr.</t>
  </si>
  <si>
    <t>BG</t>
  </si>
  <si>
    <t>Gennemsnit:</t>
  </si>
  <si>
    <t>faste ulempeydelser</t>
  </si>
  <si>
    <t>undervisningstilllæg</t>
  </si>
  <si>
    <t>souscheftillæg</t>
  </si>
  <si>
    <t>decentrale funktionstillæg</t>
  </si>
  <si>
    <t>decentrale kvalifikationstillæg</t>
  </si>
  <si>
    <t>timer</t>
  </si>
  <si>
    <t>Antal</t>
  </si>
  <si>
    <t>lø/sø</t>
  </si>
  <si>
    <t>lø</t>
  </si>
  <si>
    <t>sø</t>
  </si>
  <si>
    <t>ma</t>
  </si>
  <si>
    <t>ti</t>
  </si>
  <si>
    <t>on</t>
  </si>
  <si>
    <t>to</t>
  </si>
  <si>
    <t>fr</t>
  </si>
  <si>
    <t>2008/09</t>
  </si>
  <si>
    <t>2009/10</t>
  </si>
  <si>
    <t>2010/11</t>
  </si>
  <si>
    <t>2011/12</t>
  </si>
  <si>
    <t>2012/13</t>
  </si>
  <si>
    <t>2013/14</t>
  </si>
  <si>
    <t>2014/15</t>
  </si>
  <si>
    <t>2015/16</t>
  </si>
  <si>
    <t>2016/17</t>
  </si>
  <si>
    <t>Forskydelige
helligdage</t>
  </si>
  <si>
    <t>Faste
søgne-
helligdage</t>
  </si>
  <si>
    <t>fri-</t>
  </si>
  <si>
    <t>fra</t>
  </si>
  <si>
    <t>til</t>
  </si>
  <si>
    <t>Feriedifference</t>
  </si>
  <si>
    <t>områdetillæg</t>
  </si>
  <si>
    <t>Ikke faste løndele er fx:</t>
  </si>
  <si>
    <t>søgne-</t>
  </si>
  <si>
    <t>skoleår</t>
  </si>
  <si>
    <t>Jule-</t>
  </si>
  <si>
    <t>dag</t>
  </si>
  <si>
    <t>2.</t>
  </si>
  <si>
    <t>Nytårs-</t>
  </si>
  <si>
    <t>Forsky-</t>
  </si>
  <si>
    <t>delige</t>
  </si>
  <si>
    <t>hellig-</t>
  </si>
  <si>
    <t>dage</t>
  </si>
  <si>
    <t>i alt:</t>
  </si>
  <si>
    <t>Skærtorsdag</t>
  </si>
  <si>
    <t>Langfredag</t>
  </si>
  <si>
    <t>2. Påskedag</t>
  </si>
  <si>
    <t>Kr.Himmelfartsdag</t>
  </si>
  <si>
    <t>Store Bededag</t>
  </si>
  <si>
    <t>2. Pinsedag</t>
  </si>
  <si>
    <t>Ferie-</t>
  </si>
  <si>
    <t>mandag-</t>
  </si>
  <si>
    <t>fredag</t>
  </si>
  <si>
    <t>Søgne-</t>
  </si>
  <si>
    <t>fridage</t>
  </si>
  <si>
    <t>i alt</t>
  </si>
  <si>
    <t>Skole-</t>
  </si>
  <si>
    <t>årets</t>
  </si>
  <si>
    <t>arbejds-</t>
  </si>
  <si>
    <t>Trin 4-tillæg</t>
  </si>
  <si>
    <t>OK13-tillæg</t>
  </si>
  <si>
    <t>Navn</t>
  </si>
  <si>
    <t>x</t>
  </si>
  <si>
    <t>Evt. andre tillæg</t>
  </si>
  <si>
    <t xml:space="preserve">OK08-tillæg </t>
  </si>
  <si>
    <t>Basisløn</t>
  </si>
  <si>
    <t>LÆRERE:</t>
  </si>
  <si>
    <t>PÆD/TAP</t>
  </si>
  <si>
    <t>Gruppeliv</t>
  </si>
  <si>
    <t>Evt. funktionstillæg</t>
  </si>
  <si>
    <t>Evt. kvalifikationstillæg</t>
  </si>
  <si>
    <t>Pensionsprocent</t>
  </si>
  <si>
    <t>Pension</t>
  </si>
  <si>
    <t>Skalatrinsløn(pensionsgivende)</t>
  </si>
  <si>
    <t>Skalatrinsløn(ikke pensionsgivende)</t>
  </si>
  <si>
    <t>OK15-tillæg</t>
  </si>
  <si>
    <t>flydende tillæg til specialundervisning, ulempetillæg, weekendtillæg, engangstillæg mm.</t>
  </si>
  <si>
    <t>dd/mm/åå</t>
  </si>
  <si>
    <t>mm dd/mm</t>
  </si>
  <si>
    <t>Feriefradrag og dif. Beregnes med :(skriv antal %)</t>
  </si>
  <si>
    <t>Ledere, lærere, bh.kl. Ledere, pæd. med BUPL OK, Ansatte med 3 F OK beregnes med 4,62 %. For alle andre personaler er det et aftale spørgsmål, omkring rettigheden til ferieaftalen 4,62 eller om ferieloven 4,8%</t>
  </si>
  <si>
    <t>For hvilken mdr. skal der beregnes ferieløn?</t>
  </si>
  <si>
    <t>85% = 0,85</t>
  </si>
  <si>
    <t>Antal feriedage uden lønret i denne mdr.</t>
  </si>
  <si>
    <t>Antal feriedage med lønret i denne mdr.</t>
  </si>
  <si>
    <t>Antal feriedage denne mdr.</t>
  </si>
  <si>
    <t>Skriv her hvor mange feriedage denne mdr. tæller med</t>
  </si>
  <si>
    <t>Hvor mange feriedage har den ansatte MED lønret i denne mdr. (Ferie med evt. lønret afholdes før ferie uden lønr)et.</t>
  </si>
  <si>
    <t>Hvor mange dage skal den ansatte fratrækkes løn denne mdr.</t>
  </si>
  <si>
    <t>Fastpåregnelige løndele. Løndele der kommer til udbetaling hver mdr.</t>
  </si>
  <si>
    <t>IKKE pensionsberettiget feriefradrag for de fastpåregnelige løndele vedr. ej optjent lønret</t>
  </si>
  <si>
    <t>Pensionsberettiget feriefradrag for de fastpåregnelige løndele vedr. ej optjent lønret</t>
  </si>
  <si>
    <t>Pensionsreguleringen for feriefradraget(Både medarbejderbidrag og arb.giverbidrag)</t>
  </si>
  <si>
    <t>Evt. Områdetillæg</t>
  </si>
  <si>
    <t>Vejledning til beregning af løn under ferie</t>
  </si>
  <si>
    <t>For de ansatte der har ret til løn under ferie, skal der på ferietidspunktet evt. beregnes feriefradrag samt feriedifference.</t>
  </si>
  <si>
    <t>Feriefradrag</t>
  </si>
  <si>
    <t>Vedr. ferie er det vigtigt at skelne imellem optjeningsår og ferieår.</t>
  </si>
  <si>
    <t>Ferieåret er det år hvori ferien afholdes og starter altid d. 1. maj og slutter året efter d. 30. april.</t>
  </si>
  <si>
    <t>Optjeningsåret er det kalenderår der ligger forud for ferieåret, og går altid fra 1. januar til 31. december.</t>
  </si>
  <si>
    <t>Har den ansatte ikke været ansat i hele optjeningsåret, skal der beregnes et feriefradrag der afhænger af hvilken overenskomst man er ansat under.</t>
  </si>
  <si>
    <t>For hver mdr. ansættelse optjenes der 2,08 feriedag til afholdelse i det kommende ferieår.</t>
  </si>
  <si>
    <t>Har man ifølge sin overenskomst ret til ferie efter ferieaftalen har man optjener man derudover 0,42 særlig feriedag til afholdelse i det kommende ferieår.</t>
  </si>
  <si>
    <t>Hvad ens overenskomst giver ret til, vises i dette skema.</t>
  </si>
  <si>
    <t>Læs også Friskoleforeningens ferievejledning</t>
  </si>
  <si>
    <t>Denne manglende lønret skal beregnes som enten 4,62% eller 4,8%(Se ovenfor).</t>
  </si>
  <si>
    <t>Har den ansatte på ferietidspunktet ikke samme beskæftigelsesgrad som i optjeningsåret skal der for de dage der afholdes ferie med løn evt. beregnes en feriedifference.</t>
  </si>
  <si>
    <t>Feriedifferencen er et positivt beløb såfremt beskæftigelsesgraden i optjeningsåret var højere end på ferietidspunktet, og et negativt beløb hvis beskæftigelsesgraden i optjeningsåret var lavere end på ferietidspunktet.</t>
  </si>
  <si>
    <t>Beregning af feriefradrag og feriedifference</t>
  </si>
  <si>
    <t>I fanen "løn under ferie" hjælper vi til beregningen af løn under ferie og udregner et evt. feriefradrag og feriedifference.</t>
  </si>
  <si>
    <t>Udfyld de gule felter:</t>
  </si>
  <si>
    <t>Navn på den ansatte, optjeningsår, beskæftigelsesgrad på ferietidspunktet, pensionsprocent, hvilken mdr. skal der beregnes ferieløn,</t>
  </si>
  <si>
    <t>Antal feriedage i ferieåret, antal feriedage i denne mdr, antal feriedage uden lønret denne mdr, fradragsprocenten(Se skema ovenfor).</t>
  </si>
  <si>
    <t>I fanen "faste løndele"  skelnes der til om det er en lærer der skal beregnes på eller om det er en pædagog eller teknisk adm. medarbejder. (tastes alle fastpåregnelige løndele. Deruover oplyses der om de er pensionsberettiget, og om de er afhængig af beskæftigelsesgraden.</t>
  </si>
  <si>
    <t>I de felter hvor pensionsretten og hvorvidt det er afhængig af beskæftigelsesgraden  er bestemt af overenskomsten er felterne grå.(Dvs. der er ikke et valg).</t>
  </si>
  <si>
    <t>Felt nr. 3:  "Beregning af den gennemsnitlige beskæftigelsesgrad"</t>
  </si>
  <si>
    <t>Her beregnes den gennemsnitlige beskæftigelsesgrad for optjeningsåret.</t>
  </si>
  <si>
    <t>Tast her ansættelsesdato til og fra i formatet dd/mm/åå</t>
  </si>
  <si>
    <t>Tast antal mdr. for hver periode i formatet mm dd/mm. Dvs. at hvis det er 2 mdr. og 15 dage ud af 31 tastes: 2 15/31</t>
  </si>
  <si>
    <t>Tast beskæftigelsesgraden for perioden. 85% = 0,85</t>
  </si>
  <si>
    <t>Felt nr. 1: (generelle oplysninger)</t>
  </si>
  <si>
    <t>Felt nr. 2: "Faste løndele" Sammentælling af de fastpåregnelige løndele, pension heraf samt de beskæftigelsesafhængige løndele samt pension heraf.</t>
  </si>
  <si>
    <t>Her vises med rødt den pågældendes mdr.  Feriefradrag opdelt i pensionsberettiget og ikke pensionsberettiget samt feriedifference ligeledes opdelt i pensionsberettiget og ikke pensionsberettiget. Derudover vises pensionsdifferencen i forhold til feriefradraget og feriedifferencen.</t>
  </si>
  <si>
    <t>Felt nr. 4 Feriefradrag og feriedifference</t>
  </si>
  <si>
    <t>Ferie mdr. hvori der er afholdt ferie med fuld løn</t>
  </si>
  <si>
    <t>Er den ansatte omfattet af ferieaftalen, der bla. giver ret til særlige feriedage - sæt x</t>
  </si>
  <si>
    <t>Feriedagene afregnes med:</t>
  </si>
  <si>
    <t>De særlige feriedage afregnes med:</t>
  </si>
  <si>
    <t>Benyttes ved afregnining af en ansat eller ved udbetaling af ikke afholdt ferie/særlige feriedage.</t>
  </si>
  <si>
    <t>Vejledning til afregning af feriepenge/særlige feriedage</t>
  </si>
  <si>
    <t>Hvis en medarbejder skal have afregnet sine ferie/særlige feriedage i forbindelse med afrejse, eller pga. ikke afholdt ferie, skal der beregnes feriepenge/særlige feriedage. Dette gøres i arket "afregning af feriepenge".</t>
  </si>
  <si>
    <t>Feriepengeafregningen gælder optjeningsåret:</t>
  </si>
  <si>
    <t>Ja</t>
  </si>
  <si>
    <t>Nej</t>
  </si>
  <si>
    <t>Feriepenge til ovf. til feriekonto eller direkte til medarb., såfremt medarbejder går direkte på ferie</t>
  </si>
  <si>
    <t>Feriedage afrundet</t>
  </si>
  <si>
    <t>Sum af dage</t>
  </si>
  <si>
    <t>Har man ifølge sin overenskomst ret til ferie efter ferieaftalen optjener man derudover 0,42 særlig feriedag til afholdelse i det kommende ferieår.</t>
  </si>
  <si>
    <t>Tast kun i de gule felter</t>
  </si>
  <si>
    <t>Skriv den ansattes navn, og oplys om den ansatte er omfattet af ferieaftalen samt for hvilket optjeningsår feriepengeafregningen gælder.</t>
  </si>
  <si>
    <t>De ansatte der er omfattet af ferieaftalen er:</t>
  </si>
  <si>
    <t>Ledere, lærere samt børnehaveklasseledere.</t>
  </si>
  <si>
    <t>Pædagogisk personale med BUPL overenskomst.</t>
  </si>
  <si>
    <t>Ansatte under HK overenskomsten(Lilleskolernes sammenslutning)</t>
  </si>
  <si>
    <t>Ansatte under 3F overenskomsten</t>
  </si>
  <si>
    <t>For alle andre er det et aftalespørgsmål om hvorvidt der er ret til ferie under ferieaftalen eller ferieloven.(Dette fremgår af ansættelsesbrevet)</t>
  </si>
  <si>
    <t>Skema 1</t>
  </si>
  <si>
    <t>Skema 2</t>
  </si>
  <si>
    <t>Skema 3</t>
  </si>
  <si>
    <t>Skema 4</t>
  </si>
  <si>
    <t>Skema 5</t>
  </si>
  <si>
    <t>Skema 1:</t>
  </si>
  <si>
    <t>Skema 2:</t>
  </si>
  <si>
    <t>Opgørelse af antal optjente feriedage og særlige feriedage</t>
  </si>
  <si>
    <t>Heri indtastes oplysninger omkring ansættelsesforhold for optjeningsåret til brug for udregning af antal optjente feriedage samt optjente særlige feriedage.</t>
  </si>
  <si>
    <t>Skema 3:</t>
  </si>
  <si>
    <t>Oplys om hvorvidt den ansatte har været ansat hele optjeningsåret og om der er afholdt en eller flere af disse optjente feriedage i det kommende ferieår.</t>
  </si>
  <si>
    <t>Oplysningen bruges til, at såfremt man ikke har været ansat hele optjeningsåret og har brugt en eller flere af disse optjente feriedage, skal der beregnes en feriedagsværdi.</t>
  </si>
  <si>
    <t>Hvis ikke ovenstående er tilfældet skal udbetales 0,5% af hver skyldig feriedag.</t>
  </si>
  <si>
    <t>Har man endnu ikke brugt nogle af sine feriedage, skal der udbetales 12,5% af feriepengeberegningsgrundlaget.</t>
  </si>
  <si>
    <t>Er man omfattet af ferieaftalen optjener man ret til særlige feriedage.</t>
  </si>
  <si>
    <t>Oplys hvor mange særlige feriedage der evt. er afholdt i ferieåret.</t>
  </si>
  <si>
    <t>Hver skyldig særlig feriedag udgør 0,5% af feriepengeberegningsgrundlaget.</t>
  </si>
  <si>
    <t>Har man ikke brugt nogle af sine særlige feriedage, skal der udbetales 2,5% af feriepengeberegningsgrundlaget.</t>
  </si>
  <si>
    <t>Oplys pensionsprocenten(Bruges til udregning af egetbidrag pension under ferie med løn)</t>
  </si>
  <si>
    <t>Oplys den ferieberettiget løn i optjeningsåret(Er at finde på årets sidste lønseddel)</t>
  </si>
  <si>
    <t>Oplys egetbidrag Pension i optjeningsåret(Er at finde på årets sidste lønseddel)</t>
  </si>
  <si>
    <t>Diverse oplysninger om afholdte feriedage, særligeferiedage samt løn.</t>
  </si>
  <si>
    <t>For at beregne den rette pensionsfradrag er det vigtigt at dele lønnen i feriemåneden op i pensionsberettiget og ikke pensionsberettiget.</t>
  </si>
  <si>
    <t>For at beregne feriepengeberegningsgrundlaget skal der trækkes løn under ferie ud.</t>
  </si>
  <si>
    <t>Oplys i skema 4 hvilke mdr. der i optjeningsåret har været afholdt ferie med fuld løn, hvor mange feriedage der er afholdt i den pågældnede månede samt lønnen i feriemåneden.</t>
  </si>
  <si>
    <t>Der er mulighed for 4 ferieperioder i optjeningsåret.</t>
  </si>
  <si>
    <t>Skema 5:</t>
  </si>
  <si>
    <t>Skema 4:</t>
  </si>
  <si>
    <t>Er den ansatte under ferieaftalen og der er udbetalt det særlige ferietillæg(1,5%) for de dage ferieafregningen nu sker for, skal der modregnes i ferietillægget for disse dage.</t>
  </si>
  <si>
    <t>Er den ansatte ikke under ferieaftalen skal der ikke modregnes i udbetalt ferietillæg for de dage der nu afregnes for.</t>
  </si>
  <si>
    <t>feriepengebeløbet der skal afregnes til feriekonto eller direkte til den ansatte, såfremt den ansatte går direkte på feri</t>
  </si>
  <si>
    <t>Nederst i skema 5 vises der med rødt:</t>
  </si>
  <si>
    <t>Beløbet for evt. særlige feriedage der afregnes til den ansatte med sidste mdr. løn.</t>
  </si>
  <si>
    <t>Pension (Både egetbidrag og arbejdsgiverbidrag oplyses)</t>
  </si>
  <si>
    <t>OK 18-tillæg</t>
  </si>
  <si>
    <t>Med oplysninger om den ferieberettigede løn, egetbidrag pension, og med fradrag for løn og egetbidrag pension er det nu muligt at udregne feriepengeberegningsgrundlaget.</t>
  </si>
  <si>
    <t>Beate</t>
  </si>
  <si>
    <t>Er lønnen pensions-pligtig?( sæt x)</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</si>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</sst>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k_r_-;\-* #,##0.00\ _k_r_-;_-* &quot;-&quot;??\ _k_r_-;_-@_-"/>
    <numFmt numFmtId="165" formatCode="_(* #,##0_);_(* \(#,##0\);_(* &quot;-&quot;_);_(@_)"/>
    <numFmt numFmtId="166" formatCode="_(* #,##0.00_);_(* \(#,##0.00\);_(* &quot;-&quot;??_);_(@_)"/>
    <numFmt numFmtId="167" formatCode="_-&quot;kr.&quot;* #,##0_-;\-&quot;kr.&quot;* #,##0_-;_-&quot;kr.&quot;* &quot;-&quot;_-;_-@_-"/>
    <numFmt numFmtId="168" formatCode="_-&quot;kr.&quot;* #,##0.00_-;\-&quot;kr.&quot;* #,##0.00_-;_-&quot;kr.&quot;* &quot;-&quot;??_-;_-@_-"/>
    <numFmt numFmtId="169" formatCode="0.0"/>
    <numFmt numFmtId="170" formatCode="#,##0.00&quot;kr.&quot;;\-#,##0.00&quot;kr.&quot;"/>
    <numFmt numFmtId="171" formatCode="#,##0.0"/>
    <numFmt numFmtId="172" formatCode="#,##0.0000"/>
    <numFmt numFmtId="173" formatCode="0.0%"/>
    <numFmt numFmtId="174" formatCode="000\-000"/>
  </numFmts>
  <fonts count="67">
    <font>
      <sz val="10"/>
      <name val="Geneva"/>
    </font>
    <font>
      <sz val="10"/>
      <name val="Helvetica"/>
      <family val="2"/>
    </font>
    <font>
      <sz val="12"/>
      <name val="Arial"/>
      <family val="2"/>
    </font>
    <font>
      <sz val="10"/>
      <name val="Geneva"/>
      <family val="2"/>
    </font>
    <font>
      <sz val="12"/>
      <name val="Helvetica"/>
      <family val="2"/>
    </font>
    <font>
      <sz val="14"/>
      <name val="Helvetica"/>
      <family val="2"/>
    </font>
    <font>
      <sz val="9"/>
      <name val="Helvetica"/>
      <family val="2"/>
    </font>
    <font>
      <sz val="12"/>
      <name val="Chicago"/>
    </font>
    <font>
      <sz val="10"/>
      <name val="Courier"/>
      <family val="1"/>
    </font>
    <font>
      <sz val="10"/>
      <name val="Arial"/>
      <family val="2"/>
    </font>
    <font>
      <sz val="8"/>
      <name val="Verdana"/>
      <family val="2"/>
    </font>
    <font>
      <sz val="10"/>
      <color indexed="10"/>
      <name val="Arial"/>
      <family val="2"/>
    </font>
    <font>
      <b/>
      <sz val="10"/>
      <name val="Arial"/>
      <family val="2"/>
    </font>
    <font>
      <b/>
      <sz val="12"/>
      <name val="Arial"/>
      <family val="2"/>
    </font>
    <font>
      <b/>
      <sz val="20"/>
      <name val="Arial"/>
      <family val="2"/>
    </font>
    <font>
      <b/>
      <sz val="12"/>
      <name val="Helvetica"/>
      <family val="2"/>
    </font>
    <font>
      <b/>
      <sz val="10"/>
      <color indexed="12"/>
      <name val="Arial"/>
      <family val="2"/>
    </font>
    <font>
      <sz val="9"/>
      <color indexed="10"/>
      <name val="Arial"/>
      <family val="2"/>
    </font>
    <font>
      <sz val="8"/>
      <name val="Genev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b/>
      <sz val="12"/>
      <color indexed="9"/>
      <name val="Calibri"/>
      <family val="2"/>
    </font>
    <font>
      <sz val="12"/>
      <color indexed="60"/>
      <name val="Calibri"/>
      <family val="2"/>
    </font>
    <font>
      <b/>
      <sz val="12"/>
      <color indexed="63"/>
      <name val="Calibri"/>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b/>
      <sz val="18"/>
      <color indexed="56"/>
      <name val="Cambria"/>
      <family val="2"/>
    </font>
    <font>
      <b/>
      <sz val="12"/>
      <color indexed="8"/>
      <name val="Calibri"/>
      <family val="2"/>
    </font>
    <font>
      <b/>
      <sz val="12"/>
      <color indexed="12"/>
      <name val="Arial"/>
      <family val="2"/>
    </font>
    <font>
      <i/>
      <sz val="12"/>
      <name val="Arial"/>
      <family val="2"/>
    </font>
    <font>
      <sz val="12"/>
      <color indexed="10"/>
      <name val="Arial"/>
      <family val="2"/>
    </font>
    <font>
      <b/>
      <sz val="14"/>
      <name val="Arial"/>
      <family val="2"/>
    </font>
    <font>
      <sz val="14"/>
      <name val="Arial"/>
      <family val="2"/>
    </font>
    <font>
      <sz val="12"/>
      <color theme="1"/>
      <name val="Arial"/>
      <family val="2"/>
    </font>
    <font>
      <sz val="12"/>
      <color rgb="FFC00000"/>
      <name val="Arial"/>
      <family val="2"/>
    </font>
    <font>
      <b/>
      <sz val="12"/>
      <color rgb="FFC00000"/>
      <name val="Arial"/>
      <family val="2"/>
    </font>
    <font>
      <sz val="10"/>
      <color rgb="FFC00000"/>
      <name val="Arial"/>
      <family val="2"/>
    </font>
    <font>
      <sz val="10"/>
      <color rgb="FF0A39D5"/>
      <name val="Arial"/>
      <family val="2"/>
    </font>
    <font>
      <sz val="12"/>
      <color rgb="FF0A39D5"/>
      <name val="Arial"/>
      <family val="2"/>
    </font>
    <font>
      <b/>
      <sz val="12"/>
      <color indexed="10"/>
      <name val="Arial"/>
      <family val="2"/>
    </font>
    <font>
      <b/>
      <sz val="18"/>
      <name val="Arial"/>
      <family val="2"/>
    </font>
    <font>
      <b/>
      <i/>
      <sz val="12"/>
      <name val="Arial"/>
      <family val="2"/>
    </font>
    <font>
      <b/>
      <sz val="12"/>
      <color rgb="FFFF0000"/>
      <name val="Arial"/>
      <family val="2"/>
    </font>
    <font>
      <sz val="10"/>
      <color theme="1"/>
      <name val="Geneva"/>
      <family val="2"/>
    </font>
    <font>
      <sz val="12"/>
      <color rgb="FFFF0000"/>
      <name val="Arial"/>
      <family val="2"/>
    </font>
    <font>
      <b/>
      <sz val="11"/>
      <color rgb="FFFF0000"/>
      <name val="Arial"/>
      <family val="2"/>
    </font>
    <font>
      <b/>
      <sz val="12"/>
      <name val="Geneva"/>
      <family val="2"/>
    </font>
    <font>
      <u/>
      <sz val="10"/>
      <color theme="10"/>
      <name val="Geneva"/>
      <family val="2"/>
    </font>
    <font>
      <u/>
      <sz val="10"/>
      <color theme="11"/>
      <name val="Geneva"/>
      <family val="2"/>
    </font>
    <font>
      <b/>
      <sz val="10"/>
      <color rgb="FFFF0000"/>
      <name val="Arial"/>
      <family val="2"/>
    </font>
    <font>
      <sz val="12"/>
      <color theme="0"/>
      <name val="Arial"/>
      <family val="2"/>
    </font>
    <font>
      <sz val="20"/>
      <color theme="1"/>
      <name val="Arial"/>
      <family val="2"/>
    </font>
    <font>
      <sz val="20"/>
      <color theme="1"/>
      <name val="Geneva"/>
      <family val="2"/>
    </font>
    <font>
      <sz val="20"/>
      <name val="Geneva"/>
      <family val="2"/>
    </font>
    <font>
      <sz val="26"/>
      <name val="Arial"/>
      <family val="2"/>
    </font>
    <font>
      <sz val="12"/>
      <name val="Geneva"/>
      <family val="2"/>
    </font>
    <font>
      <sz val="18"/>
      <name val="Arial"/>
      <family val="2"/>
    </font>
    <font>
      <sz val="10"/>
      <color rgb="FF000000"/>
      <name val="Tahoma"/>
      <family val="2"/>
    </font>
    <font>
      <b/>
      <sz val="10"/>
      <color rgb="FF000000"/>
      <name val="Tahoma"/>
      <family val="2"/>
    </font>
  </fonts>
  <fills count="32">
    <fill>
      <patternFill patternType="none"/>
    </fill>
    <fill>
      <patternFill patternType="gray125"/>
    </fill>
    <fill>
      <patternFill patternType="solid">
        <fgColor indexed="43"/>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43"/>
      </patternFill>
    </fill>
    <fill>
      <patternFill patternType="gray0625"/>
    </fill>
    <fill>
      <patternFill patternType="solid">
        <fgColor indexed="45"/>
      </patternFill>
    </fill>
    <fill>
      <patternFill patternType="solid">
        <fgColor indexed="42"/>
      </patternFill>
    </fill>
    <fill>
      <patternFill patternType="solid">
        <fgColor indexed="55"/>
      </patternFill>
    </fill>
    <fill>
      <patternFill patternType="solid">
        <fgColor indexed="62"/>
      </patternFill>
    </fill>
    <fill>
      <patternFill patternType="solid">
        <fgColor indexed="19"/>
      </patternFill>
    </fill>
    <fill>
      <patternFill patternType="solid">
        <fgColor indexed="36"/>
      </patternFill>
    </fill>
    <fill>
      <patternFill patternType="solid">
        <fgColor indexed="26"/>
      </patternFill>
    </fill>
    <fill>
      <patternFill patternType="lightGray"/>
    </fill>
    <fill>
      <patternFill patternType="solid">
        <fgColor rgb="FFFFFB8D"/>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000000"/>
        <bgColor indexed="64"/>
      </patternFill>
    </fill>
    <fill>
      <patternFill patternType="solid">
        <fgColor theme="0" tint="-0.14999847407452621"/>
        <bgColor indexed="64"/>
      </patternFill>
    </fill>
  </fills>
  <borders count="94">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medium">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style="hair">
        <color auto="1"/>
      </right>
      <top style="hair">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hair">
        <color auto="1"/>
      </right>
      <top style="thin">
        <color auto="1"/>
      </top>
      <bottom style="thin">
        <color auto="1"/>
      </bottom>
      <diagonal/>
    </border>
    <border>
      <left/>
      <right/>
      <top style="medium">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medium">
        <color auto="1"/>
      </right>
      <top/>
      <bottom style="double">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6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4" borderId="0" applyNumberFormat="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3" fillId="14" borderId="32" applyNumberFormat="0" applyFont="0" applyAlignment="0" applyProtection="0"/>
    <xf numFmtId="0" fontId="22" fillId="12" borderId="33" applyNumberFormat="0" applyAlignment="0" applyProtection="0"/>
    <xf numFmtId="0" fontId="7" fillId="0" borderId="34" applyNumberFormat="0" applyFill="0" applyBorder="0" applyProtection="0">
      <alignment horizontal="center"/>
    </xf>
    <xf numFmtId="165" fontId="4" fillId="0" borderId="0" applyFont="0" applyFill="0" applyBorder="0" applyAlignment="0" applyProtection="0"/>
    <xf numFmtId="166" fontId="4" fillId="0" borderId="0" applyFont="0" applyFill="0" applyBorder="0" applyAlignment="0" applyProtection="0"/>
    <xf numFmtId="3" fontId="8" fillId="15" borderId="35" applyFill="0" applyBorder="0" applyAlignment="0">
      <alignment horizontal="center"/>
    </xf>
    <xf numFmtId="167" fontId="4" fillId="0" borderId="0" applyFont="0" applyFill="0" applyBorder="0" applyAlignment="0" applyProtection="0"/>
    <xf numFmtId="168" fontId="4" fillId="0" borderId="0" applyFont="0" applyFill="0" applyBorder="0" applyAlignment="0" applyProtection="0"/>
    <xf numFmtId="0" fontId="23" fillId="16" borderId="0" applyNumberFormat="0" applyBorder="0" applyAlignment="0" applyProtection="0"/>
    <xf numFmtId="0" fontId="24" fillId="0" borderId="0" applyNumberFormat="0" applyFill="0" applyBorder="0" applyAlignment="0" applyProtection="0"/>
    <xf numFmtId="0" fontId="25" fillId="17" borderId="0" applyNumberFormat="0" applyBorder="0" applyAlignment="0" applyProtection="0"/>
    <xf numFmtId="0" fontId="26" fillId="4" borderId="33" applyNumberFormat="0" applyAlignment="0" applyProtection="0"/>
    <xf numFmtId="3" fontId="1" fillId="0" borderId="0" applyFont="0" applyFill="0" applyBorder="0" applyAlignment="0" applyProtection="0"/>
    <xf numFmtId="171" fontId="1" fillId="0" borderId="0" applyFont="0" applyFill="0" applyBorder="0" applyAlignment="0" applyProtection="0"/>
    <xf numFmtId="4" fontId="1" fillId="0" borderId="0" applyFont="0" applyFill="0" applyBorder="0" applyAlignment="0" applyProtection="0"/>
    <xf numFmtId="172" fontId="1" fillId="0" borderId="0" applyFont="0" applyFill="0" applyBorder="0" applyAlignment="0" applyProtection="0"/>
    <xf numFmtId="0" fontId="27" fillId="18" borderId="36" applyNumberFormat="0" applyAlignment="0" applyProtection="0"/>
    <xf numFmtId="170" fontId="1" fillId="0" borderId="0" applyFon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5"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1" borderId="0" applyNumberFormat="0" applyBorder="0" applyAlignment="0" applyProtection="0"/>
    <xf numFmtId="0" fontId="28" fillId="22" borderId="0" applyNumberFormat="0" applyBorder="0" applyAlignment="0" applyProtection="0"/>
    <xf numFmtId="0" fontId="4" fillId="0" borderId="0"/>
    <xf numFmtId="0" fontId="29" fillId="12" borderId="37" applyNumberFormat="0" applyAlignment="0" applyProtection="0"/>
    <xf numFmtId="0" fontId="30" fillId="0" borderId="38" applyNumberFormat="0" applyFill="0" applyAlignment="0" applyProtection="0"/>
    <xf numFmtId="0" fontId="31" fillId="0" borderId="39" applyNumberFormat="0" applyFill="0" applyAlignment="0" applyProtection="0"/>
    <xf numFmtId="0" fontId="32" fillId="0" borderId="40" applyNumberFormat="0" applyFill="0" applyAlignment="0" applyProtection="0"/>
    <xf numFmtId="0" fontId="32" fillId="0" borderId="0" applyNumberForma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10" fontId="1" fillId="0" borderId="0" applyFont="0" applyFill="0" applyBorder="0" applyAlignment="0" applyProtection="0"/>
    <xf numFmtId="0" fontId="33" fillId="0" borderId="41" applyNumberFormat="0" applyFill="0" applyAlignment="0" applyProtection="0"/>
    <xf numFmtId="174" fontId="1" fillId="0" borderId="0" applyFont="0" applyFill="0" applyBorder="0" applyProtection="0">
      <alignment horizontal="center"/>
    </xf>
    <xf numFmtId="0" fontId="9" fillId="23" borderId="0" applyNumberFormat="0" applyFont="0" applyBorder="0" applyAlignment="0" applyProtection="0"/>
    <xf numFmtId="0" fontId="34" fillId="0" borderId="0" applyNumberFormat="0" applyFill="0" applyBorder="0" applyAlignment="0" applyProtection="0"/>
    <xf numFmtId="0" fontId="35" fillId="0" borderId="42" applyNumberFormat="0" applyFill="0" applyAlignment="0" applyProtection="0"/>
    <xf numFmtId="164" fontId="3"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52">
    <xf numFmtId="0" fontId="0" fillId="0" borderId="0" xfId="0"/>
    <xf numFmtId="0" fontId="9" fillId="0" borderId="0" xfId="0" applyFont="1"/>
    <xf numFmtId="0" fontId="11" fillId="0" borderId="0" xfId="0" applyFont="1"/>
    <xf numFmtId="0" fontId="13" fillId="0" borderId="0" xfId="0" applyFont="1"/>
    <xf numFmtId="15" fontId="9" fillId="0" borderId="0" xfId="0" applyNumberFormat="1" applyFont="1"/>
    <xf numFmtId="0" fontId="9" fillId="0" borderId="0" xfId="0" applyFont="1" applyAlignment="1">
      <alignment horizontal="right"/>
    </xf>
    <xf numFmtId="0" fontId="9" fillId="0" borderId="0" xfId="0" applyFont="1" applyAlignment="1">
      <alignment horizontal="left"/>
    </xf>
    <xf numFmtId="0" fontId="4" fillId="0" borderId="0" xfId="0" applyFont="1"/>
    <xf numFmtId="0" fontId="9" fillId="0" borderId="26" xfId="0" applyFont="1" applyBorder="1" applyAlignment="1">
      <alignment horizontal="center" wrapText="1"/>
    </xf>
    <xf numFmtId="0" fontId="9" fillId="0" borderId="20" xfId="0" applyFont="1" applyBorder="1" applyAlignment="1">
      <alignment horizontal="center" wrapText="1"/>
    </xf>
    <xf numFmtId="0" fontId="9" fillId="0" borderId="23" xfId="0" applyFont="1" applyBorder="1" applyAlignment="1">
      <alignment horizontal="center" wrapText="1"/>
    </xf>
    <xf numFmtId="0" fontId="9" fillId="0" borderId="26" xfId="0" applyFont="1" applyBorder="1" applyAlignment="1">
      <alignment wrapText="1"/>
    </xf>
    <xf numFmtId="0" fontId="9" fillId="0" borderId="20" xfId="0" applyFont="1" applyBorder="1" applyAlignment="1">
      <alignment wrapText="1"/>
    </xf>
    <xf numFmtId="0" fontId="9" fillId="0" borderId="23" xfId="0" applyFont="1" applyBorder="1" applyAlignment="1">
      <alignment wrapText="1"/>
    </xf>
    <xf numFmtId="0" fontId="0" fillId="0" borderId="20" xfId="0"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9" fillId="0" borderId="18" xfId="0" applyFont="1" applyBorder="1"/>
    <xf numFmtId="16" fontId="9" fillId="0" borderId="18" xfId="0" applyNumberFormat="1" applyFont="1" applyBorder="1"/>
    <xf numFmtId="0" fontId="9" fillId="0" borderId="30" xfId="0" applyFont="1" applyBorder="1"/>
    <xf numFmtId="0" fontId="4" fillId="0" borderId="18" xfId="0" applyFont="1" applyBorder="1"/>
    <xf numFmtId="0" fontId="4" fillId="0" borderId="18" xfId="0" applyFont="1" applyBorder="1" applyAlignment="1">
      <alignment horizontal="center"/>
    </xf>
    <xf numFmtId="0" fontId="4" fillId="0" borderId="30" xfId="0" applyFont="1" applyBorder="1" applyAlignment="1">
      <alignment horizontal="center"/>
    </xf>
    <xf numFmtId="0" fontId="15" fillId="0" borderId="0" xfId="0" applyFont="1"/>
    <xf numFmtId="0" fontId="15" fillId="0" borderId="18" xfId="0" applyFont="1" applyBorder="1"/>
    <xf numFmtId="0" fontId="15" fillId="0" borderId="18" xfId="0" applyFont="1" applyBorder="1" applyAlignment="1">
      <alignment horizontal="center"/>
    </xf>
    <xf numFmtId="0" fontId="15" fillId="0" borderId="30" xfId="0" applyFont="1" applyBorder="1" applyAlignment="1">
      <alignment horizontal="center"/>
    </xf>
    <xf numFmtId="0" fontId="4" fillId="0" borderId="0" xfId="0" applyFont="1" applyAlignment="1">
      <alignment horizontal="right"/>
    </xf>
    <xf numFmtId="169" fontId="4" fillId="0" borderId="31" xfId="0" applyNumberFormat="1" applyFont="1" applyBorder="1" applyAlignment="1">
      <alignment horizontal="center"/>
    </xf>
    <xf numFmtId="0" fontId="4" fillId="0" borderId="18" xfId="48" applyBorder="1" applyAlignment="1">
      <alignment horizontal="center"/>
    </xf>
    <xf numFmtId="0" fontId="4" fillId="0" borderId="30" xfId="48" applyBorder="1" applyAlignment="1">
      <alignment horizontal="center"/>
    </xf>
    <xf numFmtId="0" fontId="4" fillId="0" borderId="18" xfId="48" applyBorder="1"/>
    <xf numFmtId="0" fontId="4" fillId="0" borderId="0" xfId="48"/>
    <xf numFmtId="16" fontId="9" fillId="0" borderId="18" xfId="0" applyNumberFormat="1" applyFont="1" applyBorder="1" applyAlignment="1">
      <alignment horizontal="center"/>
    </xf>
    <xf numFmtId="0" fontId="11" fillId="0" borderId="0" xfId="0" applyFont="1" applyAlignment="1">
      <alignment horizontal="right"/>
    </xf>
    <xf numFmtId="13" fontId="11" fillId="0" borderId="0" xfId="0" applyNumberFormat="1" applyFont="1"/>
    <xf numFmtId="0" fontId="17" fillId="0" borderId="0" xfId="0" applyFont="1"/>
    <xf numFmtId="0" fontId="2" fillId="0" borderId="0" xfId="0" applyFont="1"/>
    <xf numFmtId="0" fontId="38" fillId="0" borderId="0" xfId="0" applyFont="1"/>
    <xf numFmtId="4" fontId="9" fillId="25" borderId="17" xfId="0" applyNumberFormat="1" applyFont="1" applyFill="1" applyBorder="1"/>
    <xf numFmtId="0" fontId="40" fillId="0" borderId="0" xfId="0" applyFont="1"/>
    <xf numFmtId="0" fontId="40" fillId="26" borderId="0" xfId="0" applyFont="1" applyFill="1" applyAlignment="1">
      <alignment horizontal="center" wrapText="1"/>
    </xf>
    <xf numFmtId="0" fontId="9" fillId="26" borderId="16" xfId="0" applyFont="1" applyFill="1" applyBorder="1" applyAlignment="1">
      <alignment horizontal="center" wrapText="1"/>
    </xf>
    <xf numFmtId="0" fontId="9" fillId="28" borderId="16" xfId="0" applyFont="1" applyFill="1" applyBorder="1" applyAlignment="1">
      <alignment horizontal="center"/>
    </xf>
    <xf numFmtId="0" fontId="9" fillId="0" borderId="16" xfId="0" applyFont="1" applyBorder="1" applyAlignment="1">
      <alignment horizontal="center" vertical="center" wrapText="1"/>
    </xf>
    <xf numFmtId="0" fontId="37" fillId="0" borderId="0" xfId="0" applyFont="1"/>
    <xf numFmtId="0" fontId="39" fillId="0" borderId="50" xfId="0" applyFont="1" applyBorder="1"/>
    <xf numFmtId="0" fontId="9" fillId="0" borderId="50" xfId="0" applyFont="1" applyBorder="1"/>
    <xf numFmtId="0" fontId="9" fillId="0" borderId="52" xfId="0" applyFont="1" applyBorder="1"/>
    <xf numFmtId="0" fontId="9" fillId="0" borderId="56" xfId="0" applyFont="1" applyBorder="1"/>
    <xf numFmtId="164" fontId="9" fillId="0" borderId="57" xfId="0" applyNumberFormat="1" applyFont="1" applyBorder="1" applyAlignment="1">
      <alignment horizontal="right"/>
    </xf>
    <xf numFmtId="4" fontId="16" fillId="28" borderId="57" xfId="0" applyNumberFormat="1" applyFont="1" applyFill="1" applyBorder="1"/>
    <xf numFmtId="4" fontId="16" fillId="0" borderId="7" xfId="0" applyNumberFormat="1" applyFont="1" applyBorder="1"/>
    <xf numFmtId="0" fontId="44" fillId="0" borderId="0" xfId="0" applyFont="1"/>
    <xf numFmtId="0" fontId="42" fillId="0" borderId="0" xfId="0" applyFont="1" applyAlignment="1">
      <alignment horizontal="center" wrapText="1"/>
    </xf>
    <xf numFmtId="0" fontId="42" fillId="0" borderId="0" xfId="0" applyFont="1"/>
    <xf numFmtId="0" fontId="45" fillId="0" borderId="0" xfId="0" applyFont="1"/>
    <xf numFmtId="0" fontId="46" fillId="0" borderId="0" xfId="0" applyFont="1"/>
    <xf numFmtId="0" fontId="46" fillId="0" borderId="0" xfId="0" applyFont="1" applyAlignment="1">
      <alignment horizontal="center" wrapText="1"/>
    </xf>
    <xf numFmtId="0" fontId="9" fillId="30" borderId="16" xfId="0" applyFont="1" applyFill="1" applyBorder="1" applyAlignment="1">
      <alignment horizontal="center"/>
    </xf>
    <xf numFmtId="0" fontId="36" fillId="0" borderId="0" xfId="0" applyFont="1"/>
    <xf numFmtId="0" fontId="47" fillId="0" borderId="0" xfId="0" applyFont="1"/>
    <xf numFmtId="0" fontId="48" fillId="0" borderId="0" xfId="0" applyFont="1"/>
    <xf numFmtId="0" fontId="49" fillId="0" borderId="0" xfId="0" applyFont="1"/>
    <xf numFmtId="0" fontId="38" fillId="0" borderId="0" xfId="0" applyFont="1" applyAlignment="1">
      <alignment horizontal="right"/>
    </xf>
    <xf numFmtId="0" fontId="2" fillId="24" borderId="0" xfId="0" applyFont="1" applyFill="1"/>
    <xf numFmtId="0" fontId="11" fillId="24" borderId="0" xfId="0" applyFont="1" applyFill="1"/>
    <xf numFmtId="164" fontId="2" fillId="0" borderId="65" xfId="62" applyFont="1" applyBorder="1"/>
    <xf numFmtId="164" fontId="2" fillId="0" borderId="59" xfId="62" applyFont="1" applyBorder="1"/>
    <xf numFmtId="164" fontId="2" fillId="0" borderId="59" xfId="0" applyNumberFormat="1" applyFont="1" applyBorder="1"/>
    <xf numFmtId="0" fontId="2" fillId="0" borderId="50"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horizontal="left"/>
    </xf>
    <xf numFmtId="0" fontId="41" fillId="0" borderId="0" xfId="0" applyFont="1"/>
    <xf numFmtId="0" fontId="51" fillId="0" borderId="0" xfId="0" applyFont="1"/>
    <xf numFmtId="0" fontId="52" fillId="0" borderId="86" xfId="0" applyFont="1" applyBorder="1"/>
    <xf numFmtId="0" fontId="52" fillId="0" borderId="87" xfId="0" applyFont="1" applyBorder="1"/>
    <xf numFmtId="0" fontId="2" fillId="27" borderId="28" xfId="0" applyFont="1" applyFill="1" applyBorder="1" applyAlignment="1">
      <alignment horizontal="center"/>
    </xf>
    <xf numFmtId="0" fontId="39" fillId="31" borderId="68" xfId="0" applyFont="1" applyFill="1" applyBorder="1"/>
    <xf numFmtId="2" fontId="2" fillId="27" borderId="16" xfId="0" applyNumberFormat="1" applyFont="1" applyFill="1" applyBorder="1" applyAlignment="1">
      <alignment horizontal="center"/>
    </xf>
    <xf numFmtId="2" fontId="2" fillId="27" borderId="17" xfId="0" applyNumberFormat="1" applyFont="1" applyFill="1" applyBorder="1" applyAlignment="1">
      <alignment horizontal="center"/>
    </xf>
    <xf numFmtId="0" fontId="50" fillId="0" borderId="86" xfId="0" applyFont="1" applyBorder="1" applyAlignment="1">
      <alignment vertical="center" textRotation="90" wrapText="1"/>
    </xf>
    <xf numFmtId="0" fontId="54" fillId="0" borderId="88" xfId="0" applyFont="1" applyBorder="1" applyAlignment="1">
      <alignment vertical="center" textRotation="90" wrapText="1"/>
    </xf>
    <xf numFmtId="0" fontId="54" fillId="0" borderId="87" xfId="0" applyFont="1" applyBorder="1" applyAlignment="1">
      <alignment vertical="center" textRotation="90" wrapText="1"/>
    </xf>
    <xf numFmtId="164" fontId="2" fillId="0" borderId="2" xfId="0" applyNumberFormat="1" applyFont="1" applyBorder="1" applyAlignment="1">
      <alignment horizontal="right"/>
    </xf>
    <xf numFmtId="164" fontId="2" fillId="0" borderId="59" xfId="62" applyFont="1" applyBorder="1" applyAlignment="1">
      <alignment horizontal="center"/>
    </xf>
    <xf numFmtId="0" fontId="52" fillId="0" borderId="83" xfId="0" applyFont="1" applyBorder="1"/>
    <xf numFmtId="164" fontId="2" fillId="27" borderId="59" xfId="62" applyFont="1" applyFill="1" applyBorder="1"/>
    <xf numFmtId="0" fontId="50" fillId="31" borderId="73" xfId="0" applyFont="1" applyFill="1" applyBorder="1" applyAlignment="1">
      <alignment horizontal="left"/>
    </xf>
    <xf numFmtId="0" fontId="50" fillId="31" borderId="74" xfId="0" applyFont="1" applyFill="1" applyBorder="1" applyAlignment="1">
      <alignment horizontal="left"/>
    </xf>
    <xf numFmtId="0" fontId="50" fillId="31" borderId="75" xfId="0" applyFont="1" applyFill="1" applyBorder="1" applyAlignment="1">
      <alignment horizontal="left"/>
    </xf>
    <xf numFmtId="164" fontId="50" fillId="31" borderId="76" xfId="62" applyFont="1" applyFill="1" applyBorder="1"/>
    <xf numFmtId="164" fontId="50" fillId="31" borderId="80" xfId="0" applyNumberFormat="1" applyFont="1" applyFill="1" applyBorder="1"/>
    <xf numFmtId="0" fontId="58" fillId="0" borderId="0" xfId="0" applyFont="1"/>
    <xf numFmtId="2" fontId="2" fillId="27" borderId="92" xfId="0" applyNumberFormat="1" applyFont="1" applyFill="1" applyBorder="1" applyAlignment="1">
      <alignment horizontal="center"/>
    </xf>
    <xf numFmtId="2" fontId="2" fillId="27" borderId="93" xfId="0" applyNumberFormat="1" applyFont="1" applyFill="1" applyBorder="1" applyAlignment="1">
      <alignment horizontal="center"/>
    </xf>
    <xf numFmtId="0" fontId="13" fillId="27" borderId="92" xfId="0" applyFont="1" applyFill="1" applyBorder="1" applyAlignment="1">
      <alignment horizontal="center" vertical="center" wrapText="1"/>
    </xf>
    <xf numFmtId="0" fontId="13" fillId="27" borderId="93" xfId="0" applyFont="1" applyFill="1" applyBorder="1" applyAlignment="1">
      <alignment horizontal="center" vertical="center" wrapText="1"/>
    </xf>
    <xf numFmtId="0" fontId="2" fillId="27" borderId="31" xfId="0" applyFont="1" applyFill="1" applyBorder="1" applyAlignment="1">
      <alignment horizontal="center" vertical="center"/>
    </xf>
    <xf numFmtId="0" fontId="59" fillId="0" borderId="0" xfId="0" applyFont="1"/>
    <xf numFmtId="0" fontId="60" fillId="0" borderId="0" xfId="0" applyFont="1"/>
    <xf numFmtId="0" fontId="61" fillId="0" borderId="0" xfId="0" applyFont="1"/>
    <xf numFmtId="0" fontId="48" fillId="0" borderId="47" xfId="0" applyFont="1" applyBorder="1"/>
    <xf numFmtId="0" fontId="0" fillId="0" borderId="48" xfId="0" applyBorder="1"/>
    <xf numFmtId="0" fontId="0" fillId="0" borderId="49" xfId="0" applyBorder="1"/>
    <xf numFmtId="0" fontId="2" fillId="0" borderId="66" xfId="0" applyFont="1" applyBorder="1"/>
    <xf numFmtId="0" fontId="0" fillId="0" borderId="69" xfId="0" applyBorder="1"/>
    <xf numFmtId="0" fontId="2" fillId="0" borderId="6" xfId="0" applyFont="1" applyBorder="1"/>
    <xf numFmtId="0" fontId="2" fillId="0" borderId="60" xfId="0" applyFont="1" applyBorder="1"/>
    <xf numFmtId="0" fontId="0" fillId="0" borderId="70" xfId="0" applyBorder="1"/>
    <xf numFmtId="0" fontId="48" fillId="0" borderId="66" xfId="0" applyFont="1" applyBorder="1"/>
    <xf numFmtId="0" fontId="63" fillId="0" borderId="66" xfId="0" applyFont="1" applyBorder="1"/>
    <xf numFmtId="0" fontId="63" fillId="0" borderId="6" xfId="0" applyFont="1" applyBorder="1"/>
    <xf numFmtId="0" fontId="0" fillId="0" borderId="60" xfId="0" applyBorder="1"/>
    <xf numFmtId="0" fontId="2" fillId="0" borderId="48" xfId="0" applyFont="1" applyBorder="1"/>
    <xf numFmtId="0" fontId="41" fillId="24" borderId="16" xfId="0" applyFont="1" applyFill="1" applyBorder="1" applyAlignment="1" applyProtection="1">
      <alignment horizontal="center"/>
      <protection locked="0"/>
    </xf>
    <xf numFmtId="13" fontId="41" fillId="24" borderId="16" xfId="0" applyNumberFormat="1" applyFont="1" applyFill="1" applyBorder="1" applyAlignment="1" applyProtection="1">
      <alignment horizontal="center"/>
      <protection locked="0"/>
    </xf>
    <xf numFmtId="0" fontId="41" fillId="24" borderId="17" xfId="0" applyFont="1" applyFill="1" applyBorder="1" applyAlignment="1" applyProtection="1">
      <alignment horizontal="center"/>
      <protection locked="0"/>
    </xf>
    <xf numFmtId="164" fontId="2" fillId="24" borderId="19" xfId="62" applyFont="1" applyFill="1" applyBorder="1" applyAlignment="1" applyProtection="1">
      <protection locked="0"/>
    </xf>
    <xf numFmtId="164" fontId="2" fillId="24" borderId="19" xfId="62" applyFont="1" applyFill="1" applyBorder="1" applyProtection="1">
      <protection locked="0"/>
    </xf>
    <xf numFmtId="164" fontId="2" fillId="24" borderId="16" xfId="62" applyFont="1" applyFill="1" applyBorder="1" applyAlignment="1" applyProtection="1">
      <protection locked="0"/>
    </xf>
    <xf numFmtId="164" fontId="2" fillId="24" borderId="16" xfId="62" applyFont="1" applyFill="1" applyBorder="1" applyAlignment="1" applyProtection="1">
      <alignment horizontal="left"/>
      <protection locked="0"/>
    </xf>
    <xf numFmtId="164" fontId="9" fillId="2" borderId="31" xfId="62" applyFont="1" applyFill="1" applyBorder="1" applyProtection="1">
      <protection locked="0"/>
    </xf>
    <xf numFmtId="164" fontId="9" fillId="2" borderId="16" xfId="62" applyFont="1" applyFill="1" applyBorder="1" applyProtection="1">
      <protection locked="0"/>
    </xf>
    <xf numFmtId="164" fontId="9" fillId="2" borderId="17" xfId="62" applyFont="1" applyFill="1" applyBorder="1" applyProtection="1">
      <protection locked="0"/>
    </xf>
    <xf numFmtId="0" fontId="9" fillId="24" borderId="16" xfId="0" applyFont="1" applyFill="1" applyBorder="1" applyAlignment="1" applyProtection="1">
      <alignment horizontal="center"/>
      <protection locked="0"/>
    </xf>
    <xf numFmtId="164" fontId="9" fillId="2" borderId="43" xfId="62" applyFont="1" applyFill="1" applyBorder="1" applyProtection="1">
      <protection locked="0"/>
    </xf>
    <xf numFmtId="4" fontId="43" fillId="26" borderId="0" xfId="0" applyNumberFormat="1" applyFont="1" applyFill="1" applyAlignment="1">
      <alignment horizontal="right"/>
    </xf>
    <xf numFmtId="164" fontId="2" fillId="24" borderId="16" xfId="0" applyNumberFormat="1" applyFont="1" applyFill="1" applyBorder="1"/>
    <xf numFmtId="164" fontId="2" fillId="0" borderId="19" xfId="62" applyFont="1" applyBorder="1" applyAlignment="1">
      <alignment horizontal="center"/>
    </xf>
    <xf numFmtId="0" fontId="43" fillId="27" borderId="63" xfId="0" applyFont="1" applyFill="1" applyBorder="1" applyAlignment="1">
      <alignment horizontal="left"/>
    </xf>
    <xf numFmtId="0" fontId="43" fillId="27" borderId="16" xfId="0" applyFont="1" applyFill="1" applyBorder="1" applyAlignment="1">
      <alignment horizontal="left"/>
    </xf>
    <xf numFmtId="0" fontId="9" fillId="26" borderId="19" xfId="0" applyFont="1" applyFill="1" applyBorder="1" applyAlignment="1">
      <alignment horizontal="center" vertical="center"/>
    </xf>
    <xf numFmtId="4" fontId="9" fillId="27" borderId="5" xfId="0" applyNumberFormat="1" applyFont="1" applyFill="1" applyBorder="1" applyAlignment="1">
      <alignment horizontal="right"/>
    </xf>
    <xf numFmtId="4" fontId="9" fillId="28" borderId="5" xfId="0" applyNumberFormat="1" applyFont="1" applyFill="1" applyBorder="1" applyAlignment="1">
      <alignment horizontal="right"/>
    </xf>
    <xf numFmtId="0" fontId="39" fillId="25" borderId="19" xfId="0" applyFont="1" applyFill="1" applyBorder="1" applyAlignment="1">
      <alignment horizontal="center"/>
    </xf>
    <xf numFmtId="4" fontId="9" fillId="27" borderId="65" xfId="0" applyNumberFormat="1" applyFont="1" applyFill="1" applyBorder="1" applyAlignment="1">
      <alignment horizontal="right"/>
    </xf>
    <xf numFmtId="4" fontId="43" fillId="27" borderId="51" xfId="0" applyNumberFormat="1" applyFont="1" applyFill="1" applyBorder="1" applyAlignment="1">
      <alignment horizontal="right"/>
    </xf>
    <xf numFmtId="4" fontId="43" fillId="27" borderId="53" xfId="0" applyNumberFormat="1" applyFont="1" applyFill="1" applyBorder="1" applyAlignment="1">
      <alignment horizontal="right"/>
    </xf>
    <xf numFmtId="0" fontId="43" fillId="27" borderId="19"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43" fillId="27" borderId="52" xfId="0" applyFont="1" applyFill="1" applyBorder="1" applyAlignment="1">
      <alignment horizontal="left"/>
    </xf>
    <xf numFmtId="0" fontId="43" fillId="27" borderId="45" xfId="0" applyFont="1" applyFill="1" applyBorder="1" applyAlignment="1">
      <alignment horizontal="left"/>
    </xf>
    <xf numFmtId="0" fontId="43" fillId="27" borderId="53" xfId="0" applyFont="1" applyFill="1" applyBorder="1" applyAlignment="1">
      <alignment horizontal="left"/>
    </xf>
    <xf numFmtId="0" fontId="43" fillId="27" borderId="1" xfId="0" applyFont="1" applyFill="1" applyBorder="1" applyAlignment="1">
      <alignment horizontal="left"/>
    </xf>
    <xf numFmtId="0" fontId="43" fillId="27" borderId="35" xfId="0" applyFont="1" applyFill="1" applyBorder="1" applyAlignment="1">
      <alignment horizontal="left"/>
    </xf>
    <xf numFmtId="0" fontId="43" fillId="27" borderId="55" xfId="0" applyFont="1" applyFill="1" applyBorder="1" applyAlignment="1">
      <alignment horizontal="left"/>
    </xf>
    <xf numFmtId="0" fontId="14" fillId="29" borderId="56" xfId="0" applyFont="1" applyFill="1" applyBorder="1" applyAlignment="1">
      <alignment horizontal="center"/>
    </xf>
    <xf numFmtId="0" fontId="14" fillId="29" borderId="67" xfId="0" applyFont="1" applyFill="1" applyBorder="1" applyAlignment="1">
      <alignment horizontal="center"/>
    </xf>
    <xf numFmtId="0" fontId="14" fillId="29" borderId="68" xfId="0" applyFont="1" applyFill="1" applyBorder="1" applyAlignment="1">
      <alignment horizontal="center"/>
    </xf>
    <xf numFmtId="2" fontId="2" fillId="24" borderId="13" xfId="0" applyNumberFormat="1" applyFont="1" applyFill="1" applyBorder="1" applyAlignment="1" applyProtection="1">
      <alignment horizontal="center" wrapText="1"/>
      <protection locked="0"/>
    </xf>
    <xf numFmtId="2" fontId="2" fillId="24" borderId="14" xfId="0" applyNumberFormat="1" applyFont="1" applyFill="1" applyBorder="1" applyAlignment="1" applyProtection="1">
      <alignment horizontal="center" wrapText="1"/>
      <protection locked="0"/>
    </xf>
    <xf numFmtId="2" fontId="2" fillId="24" borderId="51" xfId="0" applyNumberFormat="1" applyFont="1" applyFill="1" applyBorder="1" applyAlignment="1" applyProtection="1">
      <alignment horizontal="center" wrapText="1"/>
      <protection locked="0"/>
    </xf>
    <xf numFmtId="0" fontId="2" fillId="0" borderId="50" xfId="0" applyFont="1" applyBorder="1" applyAlignment="1">
      <alignment horizontal="left"/>
    </xf>
    <xf numFmtId="0" fontId="2" fillId="0" borderId="15" xfId="0" applyFont="1" applyBorder="1" applyAlignment="1">
      <alignment horizontal="left"/>
    </xf>
    <xf numFmtId="0" fontId="2" fillId="24" borderId="13" xfId="0" applyFont="1" applyFill="1" applyBorder="1" applyAlignment="1" applyProtection="1">
      <alignment horizontal="center" wrapText="1"/>
      <protection locked="0"/>
    </xf>
    <xf numFmtId="0" fontId="2" fillId="24" borderId="14" xfId="0" applyFont="1" applyFill="1" applyBorder="1" applyAlignment="1" applyProtection="1">
      <alignment horizontal="center" wrapText="1"/>
      <protection locked="0"/>
    </xf>
    <xf numFmtId="0" fontId="2" fillId="24" borderId="51" xfId="0" applyFont="1" applyFill="1" applyBorder="1" applyAlignment="1" applyProtection="1">
      <alignment horizontal="center" wrapText="1"/>
      <protection locked="0"/>
    </xf>
    <xf numFmtId="0" fontId="14" fillId="29" borderId="1" xfId="0" applyFont="1" applyFill="1" applyBorder="1" applyAlignment="1">
      <alignment horizontal="center"/>
    </xf>
    <xf numFmtId="0" fontId="14" fillId="29" borderId="35" xfId="0" applyFont="1" applyFill="1" applyBorder="1" applyAlignment="1">
      <alignment horizontal="center"/>
    </xf>
    <xf numFmtId="0" fontId="14" fillId="29" borderId="55" xfId="0" applyFont="1" applyFill="1" applyBorder="1" applyAlignment="1">
      <alignment horizontal="center"/>
    </xf>
    <xf numFmtId="0" fontId="46" fillId="0" borderId="0" xfId="0" applyFont="1" applyAlignment="1">
      <alignment horizontal="left" wrapText="1"/>
    </xf>
    <xf numFmtId="0" fontId="14" fillId="29" borderId="47" xfId="0" applyFont="1" applyFill="1" applyBorder="1" applyAlignment="1">
      <alignment horizontal="center"/>
    </xf>
    <xf numFmtId="0" fontId="14" fillId="29" borderId="48" xfId="0" applyFont="1" applyFill="1" applyBorder="1" applyAlignment="1">
      <alignment horizontal="center"/>
    </xf>
    <xf numFmtId="0" fontId="14" fillId="29" borderId="49" xfId="0" applyFont="1" applyFill="1" applyBorder="1" applyAlignment="1">
      <alignment horizontal="center"/>
    </xf>
    <xf numFmtId="0" fontId="39" fillId="29" borderId="3" xfId="0" applyFont="1" applyFill="1" applyBorder="1" applyAlignment="1">
      <alignment horizontal="center"/>
    </xf>
    <xf numFmtId="0" fontId="39" fillId="29" borderId="11" xfId="0" applyFont="1" applyFill="1" applyBorder="1" applyAlignment="1">
      <alignment horizontal="center"/>
    </xf>
    <xf numFmtId="0" fontId="39" fillId="29" borderId="54" xfId="0" applyFont="1" applyFill="1" applyBorder="1" applyAlignment="1">
      <alignment horizontal="center"/>
    </xf>
    <xf numFmtId="0" fontId="2" fillId="24" borderId="44" xfId="0" applyFont="1" applyFill="1" applyBorder="1" applyAlignment="1" applyProtection="1">
      <alignment horizontal="center" wrapText="1"/>
      <protection locked="0"/>
    </xf>
    <xf numFmtId="0" fontId="2" fillId="24" borderId="45" xfId="0" applyFont="1" applyFill="1" applyBorder="1" applyAlignment="1" applyProtection="1">
      <alignment horizontal="center" wrapText="1"/>
      <protection locked="0"/>
    </xf>
    <xf numFmtId="0" fontId="2" fillId="24" borderId="53" xfId="0" applyFont="1" applyFill="1" applyBorder="1" applyAlignment="1" applyProtection="1">
      <alignment horizontal="center" wrapText="1"/>
      <protection locked="0"/>
    </xf>
    <xf numFmtId="2" fontId="2" fillId="27" borderId="13" xfId="0" applyNumberFormat="1" applyFont="1" applyFill="1" applyBorder="1" applyAlignment="1">
      <alignment horizontal="center" wrapText="1"/>
    </xf>
    <xf numFmtId="2" fontId="2" fillId="27" borderId="14" xfId="0" applyNumberFormat="1" applyFont="1" applyFill="1" applyBorder="1" applyAlignment="1">
      <alignment horizontal="center" wrapText="1"/>
    </xf>
    <xf numFmtId="2" fontId="2" fillId="27" borderId="51" xfId="0" applyNumberFormat="1" applyFont="1" applyFill="1" applyBorder="1" applyAlignment="1">
      <alignment horizontal="center" wrapText="1"/>
    </xf>
    <xf numFmtId="0" fontId="2" fillId="0" borderId="52" xfId="0" applyFont="1" applyBorder="1" applyAlignment="1">
      <alignment horizontal="left"/>
    </xf>
    <xf numFmtId="0" fontId="2" fillId="0" borderId="46" xfId="0" applyFont="1" applyBorder="1" applyAlignment="1">
      <alignment horizontal="left"/>
    </xf>
    <xf numFmtId="0" fontId="2" fillId="24" borderId="16" xfId="0" applyFont="1" applyFill="1" applyBorder="1" applyAlignment="1" applyProtection="1">
      <alignment horizontal="center" wrapText="1"/>
      <protection locked="0"/>
    </xf>
    <xf numFmtId="0" fontId="2" fillId="24" borderId="19" xfId="0" applyFont="1" applyFill="1" applyBorder="1" applyAlignment="1" applyProtection="1">
      <alignment horizontal="center" wrapText="1"/>
      <protection locked="0"/>
    </xf>
    <xf numFmtId="4" fontId="2" fillId="2" borderId="13" xfId="0" applyNumberFormat="1" applyFont="1" applyFill="1" applyBorder="1" applyAlignment="1" applyProtection="1">
      <alignment horizontal="center"/>
      <protection locked="0"/>
    </xf>
    <xf numFmtId="4" fontId="2" fillId="2" borderId="14" xfId="0" applyNumberFormat="1" applyFont="1" applyFill="1" applyBorder="1" applyAlignment="1" applyProtection="1">
      <alignment horizontal="center"/>
      <protection locked="0"/>
    </xf>
    <xf numFmtId="4" fontId="2" fillId="2" borderId="51" xfId="0" applyNumberFormat="1" applyFont="1" applyFill="1" applyBorder="1" applyAlignment="1" applyProtection="1">
      <alignment horizontal="center"/>
      <protection locked="0"/>
    </xf>
    <xf numFmtId="0" fontId="42" fillId="0" borderId="0" xfId="0" applyFont="1" applyAlignment="1">
      <alignment horizontal="center" wrapText="1"/>
    </xf>
    <xf numFmtId="0" fontId="2" fillId="0" borderId="66" xfId="0" applyFont="1" applyBorder="1" applyAlignment="1">
      <alignment horizontal="left" wrapText="1"/>
    </xf>
    <xf numFmtId="0" fontId="2" fillId="0" borderId="69" xfId="0" applyFont="1" applyBorder="1" applyAlignment="1">
      <alignment horizontal="left" wrapText="1"/>
    </xf>
    <xf numFmtId="0" fontId="64" fillId="24" borderId="60" xfId="0" applyFont="1" applyFill="1" applyBorder="1" applyAlignment="1">
      <alignment horizontal="left" wrapText="1"/>
    </xf>
    <xf numFmtId="0" fontId="2" fillId="0" borderId="6" xfId="0" applyFont="1" applyBorder="1" applyAlignment="1">
      <alignment horizontal="left" wrapText="1"/>
    </xf>
    <xf numFmtId="0" fontId="2" fillId="0" borderId="60" xfId="0" applyFont="1" applyBorder="1" applyAlignment="1">
      <alignment horizontal="left" wrapText="1"/>
    </xf>
    <xf numFmtId="0" fontId="2" fillId="0" borderId="70" xfId="0" applyFont="1" applyBorder="1" applyAlignment="1">
      <alignment horizontal="left" wrapText="1"/>
    </xf>
    <xf numFmtId="0" fontId="63" fillId="0" borderId="66" xfId="0" applyFont="1" applyBorder="1" applyAlignment="1">
      <alignment horizontal="left" wrapText="1"/>
    </xf>
    <xf numFmtId="0" fontId="63" fillId="0" borderId="0" xfId="0" applyFont="1" applyAlignment="1">
      <alignment horizontal="left" wrapText="1"/>
    </xf>
    <xf numFmtId="0" fontId="63" fillId="0" borderId="69" xfId="0" applyFont="1" applyBorder="1" applyAlignment="1">
      <alignment horizontal="left" wrapText="1"/>
    </xf>
    <xf numFmtId="0" fontId="52" fillId="0" borderId="88" xfId="0" applyFont="1" applyBorder="1" applyAlignment="1">
      <alignment horizontal="center"/>
    </xf>
    <xf numFmtId="0" fontId="52" fillId="0" borderId="87" xfId="0" applyFont="1" applyBorder="1" applyAlignment="1">
      <alignment horizontal="center"/>
    </xf>
    <xf numFmtId="0" fontId="52" fillId="0" borderId="86" xfId="0" applyFont="1" applyBorder="1" applyAlignment="1">
      <alignment horizontal="center" vertical="top"/>
    </xf>
    <xf numFmtId="0" fontId="52" fillId="0" borderId="88" xfId="0" applyFont="1" applyBorder="1" applyAlignment="1">
      <alignment horizontal="center" vertical="top"/>
    </xf>
    <xf numFmtId="0" fontId="52" fillId="0" borderId="87" xfId="0" applyFont="1" applyBorder="1" applyAlignment="1">
      <alignment horizontal="center" vertical="top"/>
    </xf>
    <xf numFmtId="0" fontId="53" fillId="0" borderId="86" xfId="0" applyFont="1" applyBorder="1" applyAlignment="1">
      <alignment horizontal="center" vertical="top" wrapText="1"/>
    </xf>
    <xf numFmtId="0" fontId="53" fillId="0" borderId="88" xfId="0" applyFont="1" applyBorder="1" applyAlignment="1">
      <alignment horizontal="center" vertical="top" wrapText="1"/>
    </xf>
    <xf numFmtId="14" fontId="41" fillId="24" borderId="50" xfId="0" applyNumberFormat="1" applyFont="1" applyFill="1" applyBorder="1" applyAlignment="1" applyProtection="1">
      <alignment horizontal="center"/>
      <protection locked="0"/>
    </xf>
    <xf numFmtId="14" fontId="41" fillId="24" borderId="15" xfId="0" applyNumberFormat="1" applyFont="1" applyFill="1" applyBorder="1" applyAlignment="1" applyProtection="1">
      <alignment horizontal="center"/>
      <protection locked="0"/>
    </xf>
    <xf numFmtId="14" fontId="41" fillId="24" borderId="72" xfId="0" applyNumberFormat="1" applyFont="1" applyFill="1" applyBorder="1" applyAlignment="1" applyProtection="1">
      <alignment horizontal="center"/>
      <protection locked="0"/>
    </xf>
    <xf numFmtId="14" fontId="41" fillId="24" borderId="10" xfId="0" applyNumberFormat="1" applyFont="1" applyFill="1" applyBorder="1" applyAlignment="1" applyProtection="1">
      <alignment horizontal="center"/>
      <protection locked="0"/>
    </xf>
    <xf numFmtId="14" fontId="41" fillId="24" borderId="13" xfId="0" applyNumberFormat="1" applyFont="1" applyFill="1" applyBorder="1" applyAlignment="1" applyProtection="1">
      <alignment horizontal="center"/>
      <protection locked="0"/>
    </xf>
    <xf numFmtId="0" fontId="41" fillId="24" borderId="15" xfId="0" applyFont="1" applyFill="1" applyBorder="1" applyAlignment="1" applyProtection="1">
      <alignment horizontal="center"/>
      <protection locked="0"/>
    </xf>
    <xf numFmtId="0" fontId="41" fillId="24" borderId="13" xfId="0" applyFont="1" applyFill="1" applyBorder="1" applyAlignment="1" applyProtection="1">
      <alignment horizontal="center"/>
      <protection locked="0"/>
    </xf>
    <xf numFmtId="0" fontId="41" fillId="24" borderId="8" xfId="0" applyFont="1" applyFill="1" applyBorder="1" applyAlignment="1" applyProtection="1">
      <alignment horizontal="center"/>
      <protection locked="0"/>
    </xf>
    <xf numFmtId="0" fontId="41" fillId="24" borderId="10" xfId="0" applyFont="1" applyFill="1" applyBorder="1" applyAlignment="1" applyProtection="1">
      <alignment horizontal="center"/>
      <protection locked="0"/>
    </xf>
    <xf numFmtId="0" fontId="13" fillId="31" borderId="63" xfId="0" applyFont="1" applyFill="1" applyBorder="1" applyAlignment="1">
      <alignment horizontal="left"/>
    </xf>
    <xf numFmtId="0" fontId="13" fillId="31" borderId="16" xfId="0" applyFont="1" applyFill="1" applyBorder="1" applyAlignment="1">
      <alignment horizontal="left"/>
    </xf>
    <xf numFmtId="0" fontId="13" fillId="31" borderId="19" xfId="0" applyFont="1" applyFill="1" applyBorder="1" applyAlignment="1">
      <alignment horizontal="left"/>
    </xf>
    <xf numFmtId="0" fontId="2" fillId="27" borderId="63" xfId="0" applyFont="1" applyFill="1" applyBorder="1" applyAlignment="1">
      <alignment horizontal="left"/>
    </xf>
    <xf numFmtId="0" fontId="2" fillId="27" borderId="16" xfId="0" applyFont="1" applyFill="1" applyBorder="1" applyAlignment="1">
      <alignment horizontal="left"/>
    </xf>
    <xf numFmtId="0" fontId="2" fillId="0" borderId="58" xfId="0" applyFont="1" applyBorder="1" applyAlignment="1">
      <alignment horizontal="left" wrapText="1"/>
    </xf>
    <xf numFmtId="0" fontId="2" fillId="0" borderId="17" xfId="0" applyFont="1" applyBorder="1" applyAlignment="1">
      <alignment horizontal="left" wrapText="1"/>
    </xf>
    <xf numFmtId="0" fontId="2" fillId="27" borderId="72" xfId="0" applyFont="1" applyFill="1" applyBorder="1" applyAlignment="1">
      <alignment horizontal="justify" vertical="center" wrapText="1"/>
    </xf>
    <xf numFmtId="0" fontId="2" fillId="27" borderId="9" xfId="0" applyFont="1" applyFill="1" applyBorder="1" applyAlignment="1">
      <alignment horizontal="justify" vertical="center" wrapText="1"/>
    </xf>
    <xf numFmtId="0" fontId="2" fillId="27" borderId="10" xfId="0" applyFont="1" applyFill="1" applyBorder="1" applyAlignment="1">
      <alignment horizontal="justify" vertical="center" wrapText="1"/>
    </xf>
    <xf numFmtId="0" fontId="2" fillId="27" borderId="6" xfId="0" applyFont="1" applyFill="1" applyBorder="1" applyAlignment="1">
      <alignment horizontal="justify" vertical="center" wrapText="1"/>
    </xf>
    <xf numFmtId="0" fontId="2" fillId="27" borderId="60" xfId="0" applyFont="1" applyFill="1" applyBorder="1" applyAlignment="1">
      <alignment horizontal="justify" vertical="center" wrapText="1"/>
    </xf>
    <xf numFmtId="0" fontId="2" fillId="27" borderId="90" xfId="0" applyFont="1" applyFill="1" applyBorder="1" applyAlignment="1">
      <alignment horizontal="justify" vertical="center" wrapText="1"/>
    </xf>
    <xf numFmtId="0" fontId="13" fillId="27" borderId="81" xfId="0" applyFont="1" applyFill="1" applyBorder="1" applyAlignment="1">
      <alignment horizontal="center" wrapText="1"/>
    </xf>
    <xf numFmtId="0" fontId="13" fillId="27" borderId="82" xfId="0" applyFont="1" applyFill="1" applyBorder="1" applyAlignment="1">
      <alignment horizontal="center" wrapText="1"/>
    </xf>
    <xf numFmtId="0" fontId="2" fillId="0" borderId="63" xfId="0" applyFont="1" applyBorder="1" applyAlignment="1">
      <alignment horizontal="left" vertical="center" wrapText="1"/>
    </xf>
    <xf numFmtId="0" fontId="2" fillId="0" borderId="16" xfId="0" applyFont="1" applyBorder="1" applyAlignment="1">
      <alignment horizontal="left" vertical="center" wrapText="1"/>
    </xf>
    <xf numFmtId="0" fontId="2" fillId="24" borderId="16" xfId="0" applyFont="1" applyFill="1" applyBorder="1" applyAlignment="1" applyProtection="1">
      <alignment horizontal="center" vertical="center"/>
      <protection locked="0"/>
    </xf>
    <xf numFmtId="0" fontId="2" fillId="0" borderId="16" xfId="0" applyFont="1" applyBorder="1" applyAlignment="1">
      <alignment horizontal="left" wrapText="1"/>
    </xf>
    <xf numFmtId="0" fontId="2" fillId="0" borderId="63" xfId="0" applyFont="1" applyBorder="1" applyAlignment="1">
      <alignment horizontal="left"/>
    </xf>
    <xf numFmtId="0" fontId="2" fillId="0" borderId="16" xfId="0" applyFont="1" applyBorder="1" applyAlignment="1">
      <alignment horizontal="left"/>
    </xf>
    <xf numFmtId="0" fontId="2" fillId="0" borderId="19" xfId="0" applyFont="1" applyBorder="1" applyAlignment="1">
      <alignment horizontal="center"/>
    </xf>
    <xf numFmtId="0" fontId="40" fillId="29" borderId="6" xfId="0" applyFont="1" applyFill="1" applyBorder="1" applyAlignment="1">
      <alignment horizontal="center" wrapText="1"/>
    </xf>
    <xf numFmtId="0" fontId="40" fillId="29" borderId="60" xfId="0" applyFont="1" applyFill="1" applyBorder="1" applyAlignment="1">
      <alignment horizontal="center" wrapText="1"/>
    </xf>
    <xf numFmtId="0" fontId="40" fillId="29" borderId="70" xfId="0" applyFont="1" applyFill="1" applyBorder="1" applyAlignment="1">
      <alignment horizontal="center" wrapText="1"/>
    </xf>
    <xf numFmtId="0" fontId="2" fillId="0" borderId="1" xfId="0" applyFont="1" applyBorder="1" applyAlignment="1">
      <alignment horizontal="left"/>
    </xf>
    <xf numFmtId="0" fontId="2" fillId="0" borderId="35" xfId="0" applyFont="1" applyBorder="1" applyAlignment="1">
      <alignment horizontal="left"/>
    </xf>
    <xf numFmtId="0" fontId="2" fillId="0" borderId="71" xfId="0" applyFont="1" applyBorder="1" applyAlignment="1">
      <alignment horizontal="left"/>
    </xf>
    <xf numFmtId="0" fontId="2" fillId="0" borderId="14" xfId="0" applyFont="1" applyBorder="1" applyAlignment="1">
      <alignment horizontal="left"/>
    </xf>
    <xf numFmtId="0" fontId="50" fillId="31" borderId="77" xfId="0" applyFont="1" applyFill="1" applyBorder="1" applyAlignment="1">
      <alignment horizontal="left"/>
    </xf>
    <xf numFmtId="0" fontId="50" fillId="31" borderId="78" xfId="0" applyFont="1" applyFill="1" applyBorder="1" applyAlignment="1">
      <alignment horizontal="left"/>
    </xf>
    <xf numFmtId="0" fontId="50" fillId="31" borderId="79" xfId="0" applyFont="1" applyFill="1" applyBorder="1" applyAlignment="1">
      <alignment horizontal="left"/>
    </xf>
    <xf numFmtId="0" fontId="2" fillId="27" borderId="62" xfId="0" applyFont="1" applyFill="1" applyBorder="1" applyAlignment="1">
      <alignment horizontal="center"/>
    </xf>
    <xf numFmtId="0" fontId="2" fillId="27" borderId="16" xfId="0" applyFont="1" applyFill="1" applyBorder="1" applyAlignment="1">
      <alignment horizontal="center"/>
    </xf>
    <xf numFmtId="0" fontId="2" fillId="0" borderId="72"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64" xfId="0" applyFont="1" applyBorder="1" applyAlignment="1">
      <alignment horizontal="left" wrapText="1"/>
    </xf>
    <xf numFmtId="0" fontId="2" fillId="0" borderId="43" xfId="0" applyFont="1" applyBorder="1" applyAlignment="1">
      <alignment horizontal="left" wrapText="1"/>
    </xf>
    <xf numFmtId="0" fontId="2" fillId="27" borderId="1" xfId="0" applyFont="1" applyFill="1" applyBorder="1" applyAlignment="1">
      <alignment horizontal="left" wrapText="1"/>
    </xf>
    <xf numFmtId="0" fontId="2" fillId="27" borderId="35" xfId="0" applyFont="1" applyFill="1" applyBorder="1" applyAlignment="1">
      <alignment horizontal="left" wrapText="1"/>
    </xf>
    <xf numFmtId="0" fontId="2" fillId="27" borderId="71" xfId="0" applyFont="1" applyFill="1" applyBorder="1" applyAlignment="1">
      <alignment horizontal="left" wrapText="1"/>
    </xf>
    <xf numFmtId="0" fontId="2" fillId="24" borderId="16" xfId="0" applyFont="1" applyFill="1" applyBorder="1" applyAlignment="1" applyProtection="1">
      <alignment horizontal="center"/>
      <protection locked="0"/>
    </xf>
    <xf numFmtId="0" fontId="2" fillId="24" borderId="43" xfId="0" applyFont="1" applyFill="1" applyBorder="1" applyAlignment="1" applyProtection="1">
      <alignment horizontal="center"/>
      <protection locked="0"/>
    </xf>
    <xf numFmtId="0" fontId="13" fillId="27" borderId="81" xfId="0" applyFont="1" applyFill="1" applyBorder="1" applyAlignment="1">
      <alignment horizontal="center" vertical="center" wrapText="1"/>
    </xf>
    <xf numFmtId="0" fontId="13" fillId="27" borderId="82" xfId="0" applyFont="1" applyFill="1" applyBorder="1" applyAlignment="1">
      <alignment horizontal="center" vertical="center" wrapText="1"/>
    </xf>
    <xf numFmtId="10" fontId="13" fillId="27" borderId="5" xfId="0" applyNumberFormat="1" applyFont="1" applyFill="1" applyBorder="1" applyAlignment="1">
      <alignment horizontal="center"/>
    </xf>
    <xf numFmtId="10" fontId="13" fillId="27" borderId="65" xfId="0" applyNumberFormat="1" applyFont="1" applyFill="1" applyBorder="1" applyAlignment="1">
      <alignment horizontal="center"/>
    </xf>
    <xf numFmtId="0" fontId="2" fillId="0" borderId="63" xfId="0" applyFont="1" applyBorder="1" applyAlignment="1">
      <alignment horizontal="left" wrapText="1"/>
    </xf>
    <xf numFmtId="10" fontId="2" fillId="24" borderId="8" xfId="0" applyNumberFormat="1" applyFont="1" applyFill="1" applyBorder="1" applyAlignment="1" applyProtection="1">
      <alignment horizontal="center"/>
      <protection locked="0"/>
    </xf>
    <xf numFmtId="10" fontId="2" fillId="24" borderId="9" xfId="0" applyNumberFormat="1" applyFont="1" applyFill="1" applyBorder="1" applyAlignment="1" applyProtection="1">
      <alignment horizontal="center"/>
      <protection locked="0"/>
    </xf>
    <xf numFmtId="10" fontId="2" fillId="24" borderId="10" xfId="0" applyNumberFormat="1" applyFont="1" applyFill="1" applyBorder="1" applyAlignment="1" applyProtection="1">
      <alignment horizontal="center"/>
      <protection locked="0"/>
    </xf>
    <xf numFmtId="10" fontId="2" fillId="24" borderId="4" xfId="0" applyNumberFormat="1" applyFont="1" applyFill="1" applyBorder="1" applyAlignment="1" applyProtection="1">
      <alignment horizontal="center"/>
      <protection locked="0"/>
    </xf>
    <xf numFmtId="10" fontId="2" fillId="24" borderId="11" xfId="0" applyNumberFormat="1" applyFont="1" applyFill="1" applyBorder="1" applyAlignment="1" applyProtection="1">
      <alignment horizontal="center"/>
      <protection locked="0"/>
    </xf>
    <xf numFmtId="10" fontId="2" fillId="24" borderId="12" xfId="0" applyNumberFormat="1" applyFont="1" applyFill="1" applyBorder="1" applyAlignment="1" applyProtection="1">
      <alignment horizontal="center"/>
      <protection locked="0"/>
    </xf>
    <xf numFmtId="0" fontId="2" fillId="0" borderId="50"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61" xfId="0" applyFont="1" applyBorder="1" applyAlignment="1">
      <alignment horizontal="left"/>
    </xf>
    <xf numFmtId="0" fontId="2" fillId="0" borderId="62" xfId="0" applyFont="1" applyBorder="1" applyAlignment="1">
      <alignment horizontal="left"/>
    </xf>
    <xf numFmtId="0" fontId="2" fillId="27" borderId="47" xfId="0" applyFont="1" applyFill="1" applyBorder="1" applyAlignment="1">
      <alignment horizontal="left" wrapText="1"/>
    </xf>
    <xf numFmtId="0" fontId="2" fillId="27" borderId="48" xfId="0" applyFont="1" applyFill="1" applyBorder="1" applyAlignment="1">
      <alignment horizontal="left" wrapText="1"/>
    </xf>
    <xf numFmtId="0" fontId="2" fillId="27" borderId="85" xfId="0" applyFont="1" applyFill="1" applyBorder="1" applyAlignment="1">
      <alignment horizontal="left" wrapText="1"/>
    </xf>
    <xf numFmtId="0" fontId="2" fillId="27" borderId="3" xfId="0" applyFont="1" applyFill="1" applyBorder="1" applyAlignment="1">
      <alignment horizontal="left" wrapText="1"/>
    </xf>
    <xf numFmtId="0" fontId="2" fillId="27" borderId="11" xfId="0" applyFont="1" applyFill="1" applyBorder="1" applyAlignment="1">
      <alignment horizontal="left" wrapText="1"/>
    </xf>
    <xf numFmtId="0" fontId="2" fillId="27" borderId="12" xfId="0" applyFont="1" applyFill="1" applyBorder="1" applyAlignment="1">
      <alignment horizontal="left" wrapText="1"/>
    </xf>
    <xf numFmtId="0" fontId="2" fillId="24" borderId="62" xfId="0" applyFont="1" applyFill="1" applyBorder="1" applyAlignment="1" applyProtection="1">
      <alignment horizontal="center"/>
      <protection locked="0"/>
    </xf>
    <xf numFmtId="0" fontId="2" fillId="27" borderId="52" xfId="0" applyFont="1" applyFill="1" applyBorder="1" applyAlignment="1">
      <alignment horizontal="left" wrapText="1"/>
    </xf>
    <xf numFmtId="0" fontId="2" fillId="27" borderId="45" xfId="0" applyFont="1" applyFill="1" applyBorder="1" applyAlignment="1">
      <alignment horizontal="left" wrapText="1"/>
    </xf>
    <xf numFmtId="0" fontId="2" fillId="27" borderId="46" xfId="0" applyFont="1" applyFill="1" applyBorder="1" applyAlignment="1">
      <alignment horizontal="left" wrapText="1"/>
    </xf>
    <xf numFmtId="0" fontId="2" fillId="27" borderId="84" xfId="0" applyFont="1" applyFill="1" applyBorder="1" applyAlignment="1">
      <alignment horizontal="center"/>
    </xf>
    <xf numFmtId="0" fontId="2" fillId="27" borderId="35" xfId="0" applyFont="1" applyFill="1" applyBorder="1" applyAlignment="1">
      <alignment horizontal="center"/>
    </xf>
    <xf numFmtId="0" fontId="2" fillId="27" borderId="71" xfId="0" applyFont="1" applyFill="1" applyBorder="1" applyAlignment="1">
      <alignment horizontal="center"/>
    </xf>
    <xf numFmtId="0" fontId="2" fillId="24" borderId="44" xfId="0" applyFont="1" applyFill="1" applyBorder="1" applyAlignment="1" applyProtection="1">
      <alignment horizontal="center"/>
      <protection locked="0"/>
    </xf>
    <xf numFmtId="0" fontId="2" fillId="24" borderId="45" xfId="0" applyFont="1" applyFill="1" applyBorder="1" applyAlignment="1" applyProtection="1">
      <alignment horizontal="center"/>
      <protection locked="0"/>
    </xf>
    <xf numFmtId="0" fontId="2" fillId="24" borderId="46" xfId="0" applyFont="1" applyFill="1" applyBorder="1" applyAlignment="1" applyProtection="1">
      <alignment horizontal="center"/>
      <protection locked="0"/>
    </xf>
    <xf numFmtId="0" fontId="57" fillId="27" borderId="81" xfId="0" applyFont="1" applyFill="1" applyBorder="1" applyAlignment="1">
      <alignment horizontal="center" vertical="center" wrapText="1"/>
    </xf>
    <xf numFmtId="0" fontId="57" fillId="27" borderId="7" xfId="0" applyFont="1" applyFill="1" applyBorder="1" applyAlignment="1">
      <alignment horizontal="center" vertical="center" wrapText="1"/>
    </xf>
    <xf numFmtId="14" fontId="41" fillId="27" borderId="56" xfId="0" applyNumberFormat="1" applyFont="1" applyFill="1" applyBorder="1" applyAlignment="1">
      <alignment horizontal="left"/>
    </xf>
    <xf numFmtId="14" fontId="41" fillId="27" borderId="67" xfId="0" applyNumberFormat="1" applyFont="1" applyFill="1" applyBorder="1" applyAlignment="1">
      <alignment horizontal="left"/>
    </xf>
    <xf numFmtId="14" fontId="41" fillId="27" borderId="91" xfId="0" applyNumberFormat="1" applyFont="1" applyFill="1" applyBorder="1" applyAlignment="1">
      <alignment horizontal="left"/>
    </xf>
    <xf numFmtId="0" fontId="2" fillId="27" borderId="81" xfId="0" applyFont="1" applyFill="1" applyBorder="1" applyAlignment="1">
      <alignment horizontal="center" vertical="center" wrapText="1"/>
    </xf>
    <xf numFmtId="0" fontId="2" fillId="27" borderId="5" xfId="0" applyFont="1" applyFill="1" applyBorder="1" applyAlignment="1">
      <alignment horizontal="center" vertical="center" wrapText="1"/>
    </xf>
    <xf numFmtId="0" fontId="13" fillId="31" borderId="81" xfId="0" applyFont="1" applyFill="1" applyBorder="1" applyAlignment="1">
      <alignment horizontal="center" vertical="center" wrapText="1"/>
    </xf>
    <xf numFmtId="0" fontId="13" fillId="31" borderId="82" xfId="0" applyFont="1" applyFill="1" applyBorder="1" applyAlignment="1">
      <alignment horizontal="center" vertical="center" wrapText="1"/>
    </xf>
    <xf numFmtId="0" fontId="13" fillId="31" borderId="7" xfId="0" applyFont="1" applyFill="1" applyBorder="1" applyAlignment="1">
      <alignment horizontal="center" vertical="center" wrapText="1"/>
    </xf>
    <xf numFmtId="0" fontId="2" fillId="27" borderId="89" xfId="0" applyFont="1" applyFill="1" applyBorder="1" applyAlignment="1">
      <alignment horizontal="center"/>
    </xf>
    <xf numFmtId="0" fontId="2" fillId="27" borderId="28" xfId="0" applyFont="1" applyFill="1" applyBorder="1" applyAlignment="1">
      <alignment horizontal="center"/>
    </xf>
    <xf numFmtId="0" fontId="2" fillId="27" borderId="3" xfId="0" applyFont="1" applyFill="1" applyBorder="1" applyAlignment="1">
      <alignment horizontal="center" vertical="center"/>
    </xf>
    <xf numFmtId="0" fontId="2" fillId="27" borderId="12" xfId="0" applyFont="1" applyFill="1" applyBorder="1" applyAlignment="1">
      <alignment horizontal="center" vertical="center"/>
    </xf>
    <xf numFmtId="0" fontId="2" fillId="27" borderId="4" xfId="0" applyFont="1" applyFill="1" applyBorder="1" applyAlignment="1">
      <alignment horizontal="center" vertical="center"/>
    </xf>
    <xf numFmtId="0" fontId="2" fillId="27" borderId="28" xfId="0" applyFont="1" applyFill="1" applyBorder="1" applyAlignment="1">
      <alignment horizontal="center" vertical="center" wrapText="1"/>
    </xf>
    <xf numFmtId="0" fontId="2" fillId="27" borderId="31" xfId="0" applyFont="1" applyFill="1" applyBorder="1" applyAlignment="1">
      <alignment horizontal="center" vertical="center" wrapText="1"/>
    </xf>
    <xf numFmtId="0" fontId="39" fillId="31" borderId="56" xfId="0" applyFont="1" applyFill="1" applyBorder="1" applyAlignment="1">
      <alignment horizontal="center"/>
    </xf>
    <xf numFmtId="0" fontId="39" fillId="31" borderId="67" xfId="0" applyFont="1" applyFill="1" applyBorder="1" applyAlignment="1">
      <alignment horizontal="center"/>
    </xf>
    <xf numFmtId="14" fontId="41" fillId="27" borderId="6" xfId="0" applyNumberFormat="1" applyFont="1" applyFill="1" applyBorder="1" applyAlignment="1">
      <alignment horizontal="left"/>
    </xf>
    <xf numFmtId="14" fontId="41" fillId="27" borderId="60" xfId="0" applyNumberFormat="1" applyFont="1" applyFill="1" applyBorder="1" applyAlignment="1">
      <alignment horizontal="left"/>
    </xf>
    <xf numFmtId="14" fontId="41" fillId="27" borderId="90" xfId="0" applyNumberFormat="1" applyFont="1" applyFill="1" applyBorder="1" applyAlignment="1">
      <alignment horizontal="left"/>
    </xf>
    <xf numFmtId="0" fontId="62" fillId="0" borderId="86" xfId="0" applyFont="1" applyBorder="1" applyAlignment="1">
      <alignment horizontal="center" vertical="center" textRotation="90"/>
    </xf>
    <xf numFmtId="0" fontId="0" fillId="0" borderId="88" xfId="0" applyBorder="1" applyAlignment="1">
      <alignment horizontal="center" vertical="center" textRotation="90"/>
    </xf>
    <xf numFmtId="0" fontId="0" fillId="0" borderId="87" xfId="0" applyBorder="1" applyAlignment="1">
      <alignment horizontal="center" vertical="center" textRotation="90"/>
    </xf>
    <xf numFmtId="0" fontId="62" fillId="0" borderId="88" xfId="0" applyFont="1" applyBorder="1" applyAlignment="1">
      <alignment horizontal="center" vertical="center" textRotation="90"/>
    </xf>
    <xf numFmtId="0" fontId="62" fillId="0" borderId="87" xfId="0" applyFont="1" applyBorder="1" applyAlignment="1">
      <alignment horizontal="center" vertical="center" textRotation="90"/>
    </xf>
    <xf numFmtId="0" fontId="2" fillId="27" borderId="19" xfId="0" applyFont="1" applyFill="1" applyBorder="1" applyAlignment="1">
      <alignment horizontal="center"/>
    </xf>
    <xf numFmtId="0" fontId="2" fillId="27" borderId="16" xfId="0" applyFont="1" applyFill="1" applyBorder="1" applyAlignment="1">
      <alignment horizontal="left" wrapText="1"/>
    </xf>
    <xf numFmtId="0" fontId="2" fillId="27" borderId="63"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14" fillId="31" borderId="66" xfId="0" applyFont="1" applyFill="1" applyBorder="1" applyAlignment="1">
      <alignment horizontal="center"/>
    </xf>
    <xf numFmtId="0" fontId="14" fillId="31" borderId="0" xfId="0" applyFont="1" applyFill="1" applyAlignment="1">
      <alignment horizontal="center"/>
    </xf>
    <xf numFmtId="0" fontId="14" fillId="31" borderId="69" xfId="0" applyFont="1" applyFill="1" applyBorder="1" applyAlignment="1">
      <alignment horizontal="center"/>
    </xf>
    <xf numFmtId="0" fontId="48" fillId="29" borderId="47" xfId="0" applyFont="1" applyFill="1" applyBorder="1" applyAlignment="1">
      <alignment horizontal="center" wrapText="1"/>
    </xf>
    <xf numFmtId="0" fontId="48" fillId="29" borderId="48" xfId="0" applyFont="1" applyFill="1" applyBorder="1" applyAlignment="1">
      <alignment horizontal="center" wrapText="1"/>
    </xf>
    <xf numFmtId="0" fontId="48" fillId="29" borderId="49" xfId="0" applyFont="1" applyFill="1" applyBorder="1" applyAlignment="1">
      <alignment horizontal="center" wrapText="1"/>
    </xf>
    <xf numFmtId="0" fontId="2" fillId="27" borderId="47" xfId="0" applyFont="1" applyFill="1" applyBorder="1" applyAlignment="1">
      <alignment horizontal="left" vertical="center" wrapText="1"/>
    </xf>
    <xf numFmtId="0" fontId="2" fillId="27" borderId="48" xfId="0" applyFont="1" applyFill="1" applyBorder="1" applyAlignment="1">
      <alignment horizontal="left" vertical="center" wrapText="1"/>
    </xf>
    <xf numFmtId="0" fontId="2" fillId="27" borderId="85" xfId="0" applyFont="1" applyFill="1" applyBorder="1" applyAlignment="1">
      <alignment horizontal="left" vertical="center" wrapText="1"/>
    </xf>
    <xf numFmtId="0" fontId="2" fillId="27" borderId="3" xfId="0" applyFont="1" applyFill="1" applyBorder="1" applyAlignment="1">
      <alignment horizontal="left" vertical="center" wrapText="1"/>
    </xf>
    <xf numFmtId="0" fontId="2" fillId="27" borderId="11" xfId="0" applyFont="1" applyFill="1" applyBorder="1" applyAlignment="1">
      <alignment horizontal="left" vertical="center" wrapText="1"/>
    </xf>
    <xf numFmtId="0" fontId="2" fillId="27" borderId="12" xfId="0" applyFont="1" applyFill="1" applyBorder="1" applyAlignment="1">
      <alignment horizontal="left" vertical="center" wrapText="1"/>
    </xf>
    <xf numFmtId="0" fontId="2" fillId="24" borderId="9" xfId="0" applyFont="1" applyFill="1" applyBorder="1" applyAlignment="1" applyProtection="1">
      <alignment horizontal="center"/>
      <protection locked="0"/>
    </xf>
    <xf numFmtId="0" fontId="2" fillId="24" borderId="10" xfId="0" applyFont="1" applyFill="1" applyBorder="1" applyAlignment="1" applyProtection="1">
      <alignment horizontal="center"/>
      <protection locked="0"/>
    </xf>
    <xf numFmtId="10" fontId="13" fillId="27" borderId="5" xfId="62" applyNumberFormat="1" applyFont="1" applyFill="1" applyBorder="1" applyAlignment="1">
      <alignment horizontal="center"/>
    </xf>
    <xf numFmtId="10" fontId="13" fillId="27" borderId="65" xfId="62" applyNumberFormat="1" applyFont="1" applyFill="1" applyBorder="1" applyAlignment="1">
      <alignment horizontal="center"/>
    </xf>
    <xf numFmtId="0" fontId="2" fillId="27" borderId="63" xfId="0" applyFont="1" applyFill="1" applyBorder="1" applyAlignment="1">
      <alignment horizontal="left" wrapText="1"/>
    </xf>
    <xf numFmtId="0" fontId="2" fillId="27" borderId="64" xfId="0" applyFont="1" applyFill="1" applyBorder="1" applyAlignment="1">
      <alignment horizontal="left" wrapText="1"/>
    </xf>
    <xf numFmtId="0" fontId="2" fillId="27" borderId="43" xfId="0" applyFont="1" applyFill="1" applyBorder="1" applyAlignment="1">
      <alignment horizontal="left" wrapText="1"/>
    </xf>
    <xf numFmtId="16" fontId="4" fillId="0" borderId="0" xfId="0" applyNumberFormat="1" applyFont="1"/>
    <xf numFmtId="0" fontId="12" fillId="0" borderId="0" xfId="0" applyFont="1" applyAlignment="1">
      <alignment wrapText="1"/>
    </xf>
    <xf numFmtId="0" fontId="0" fillId="0" borderId="0" xfId="0" applyAlignment="1">
      <alignment wrapText="1"/>
    </xf>
    <xf numFmtId="0" fontId="0" fillId="0" borderId="22" xfId="0" applyBorder="1" applyAlignment="1">
      <alignment wrapText="1"/>
    </xf>
    <xf numFmtId="0" fontId="12" fillId="0" borderId="20" xfId="0" applyFont="1" applyBorder="1" applyAlignment="1">
      <alignment horizontal="center" vertical="center" wrapText="1"/>
    </xf>
    <xf numFmtId="0" fontId="0" fillId="0" borderId="20" xfId="0" applyBorder="1" applyAlignment="1">
      <alignment vertical="center"/>
    </xf>
    <xf numFmtId="0" fontId="0" fillId="0" borderId="23" xfId="0" applyBorder="1" applyAlignment="1">
      <alignment vertical="center"/>
    </xf>
    <xf numFmtId="0" fontId="4" fillId="0" borderId="0" xfId="0" applyFont="1"/>
    <xf numFmtId="0" fontId="4" fillId="0" borderId="22" xfId="0" applyFont="1" applyBorder="1"/>
    <xf numFmtId="0" fontId="4" fillId="0" borderId="25" xfId="0" applyFont="1" applyBorder="1"/>
    <xf numFmtId="0" fontId="9" fillId="0" borderId="26" xfId="0" applyFont="1" applyBorder="1" applyAlignment="1">
      <alignment horizontal="center" wrapText="1"/>
    </xf>
    <xf numFmtId="0" fontId="9" fillId="0" borderId="20" xfId="0" applyFont="1" applyBorder="1" applyAlignment="1">
      <alignment horizontal="center" wrapText="1"/>
    </xf>
    <xf numFmtId="0" fontId="9" fillId="0" borderId="23" xfId="0" applyFont="1" applyBorder="1" applyAlignment="1">
      <alignment horizontal="center" wrapText="1"/>
    </xf>
    <xf numFmtId="0" fontId="4" fillId="0" borderId="21" xfId="0" applyFont="1" applyBorder="1"/>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4" fillId="0" borderId="24" xfId="0" applyFont="1" applyBorder="1"/>
  </cellXfs>
  <cellStyles count="69">
    <cellStyle name="12" xfId="1" xr:uid="{00000000-0005-0000-0000-000000000000}"/>
    <cellStyle name="14" xfId="2" xr:uid="{00000000-0005-0000-0000-000001000000}"/>
    <cellStyle name="20 % - Markeringsfarve1" xfId="3" xr:uid="{00000000-0005-0000-0000-000002000000}"/>
    <cellStyle name="20 % - Markeringsfarve2" xfId="4" xr:uid="{00000000-0005-0000-0000-000003000000}"/>
    <cellStyle name="20 % - Markeringsfarve3" xfId="5" xr:uid="{00000000-0005-0000-0000-000004000000}"/>
    <cellStyle name="20 % - Markeringsfarve4" xfId="6" xr:uid="{00000000-0005-0000-0000-000005000000}"/>
    <cellStyle name="20 % - Markeringsfarve5" xfId="7" xr:uid="{00000000-0005-0000-0000-000006000000}"/>
    <cellStyle name="20 % - Markeringsfarve6" xfId="8" xr:uid="{00000000-0005-0000-0000-000007000000}"/>
    <cellStyle name="40 % - Markeringsfarve1" xfId="9" xr:uid="{00000000-0005-0000-0000-000008000000}"/>
    <cellStyle name="40 % - Markeringsfarve2" xfId="10" xr:uid="{00000000-0005-0000-0000-000009000000}"/>
    <cellStyle name="40 % - Markeringsfarve3" xfId="11" xr:uid="{00000000-0005-0000-0000-00000A000000}"/>
    <cellStyle name="40 % - Markeringsfarve4" xfId="12" xr:uid="{00000000-0005-0000-0000-00000B000000}"/>
    <cellStyle name="40 % - Markeringsfarve5" xfId="13" xr:uid="{00000000-0005-0000-0000-00000C000000}"/>
    <cellStyle name="40 % - Markeringsfarve6" xfId="14" xr:uid="{00000000-0005-0000-0000-00000D000000}"/>
    <cellStyle name="60 % - Markeringsfarve1" xfId="15" xr:uid="{00000000-0005-0000-0000-00000E000000}"/>
    <cellStyle name="60 % - Markeringsfarve2" xfId="16" xr:uid="{00000000-0005-0000-0000-00000F000000}"/>
    <cellStyle name="60 % - Markeringsfarve3" xfId="17" xr:uid="{00000000-0005-0000-0000-000010000000}"/>
    <cellStyle name="60 % - Markeringsfarve4" xfId="18" xr:uid="{00000000-0005-0000-0000-000011000000}"/>
    <cellStyle name="60 % - Markeringsfarve5" xfId="19" xr:uid="{00000000-0005-0000-0000-000012000000}"/>
    <cellStyle name="60 % - Markeringsfarve6" xfId="20" xr:uid="{00000000-0005-0000-0000-000013000000}"/>
    <cellStyle name="9" xfId="21" xr:uid="{00000000-0005-0000-0000-000014000000}"/>
    <cellStyle name="Advarselstekst" xfId="22" xr:uid="{00000000-0005-0000-0000-000015000000}"/>
    <cellStyle name="Bemærk!" xfId="23" xr:uid="{00000000-0005-0000-0000-000016000000}"/>
    <cellStyle name="Beregning" xfId="24" xr:uid="{00000000-0005-0000-0000-000017000000}"/>
    <cellStyle name="Besøgt link" xfId="64" builtinId="9" hidden="1"/>
    <cellStyle name="Besøgt link" xfId="66" builtinId="9" hidden="1"/>
    <cellStyle name="Besøgt link" xfId="68" builtinId="9" hidden="1"/>
    <cellStyle name="Chicago" xfId="25" xr:uid="{00000000-0005-0000-0000-00001B000000}"/>
    <cellStyle name="Comma [0]_DelAktPl.xls" xfId="26" xr:uid="{00000000-0005-0000-0000-00001C000000}"/>
    <cellStyle name="Comma_DelAktPl.xls" xfId="27" xr:uid="{00000000-0005-0000-0000-00001D000000}"/>
    <cellStyle name="courier" xfId="28" xr:uid="{00000000-0005-0000-0000-00001E000000}"/>
    <cellStyle name="Currency [0]_DelAktPl.xls" xfId="29" xr:uid="{00000000-0005-0000-0000-00001F000000}"/>
    <cellStyle name="Currency_DelAktPl.xls" xfId="30" xr:uid="{00000000-0005-0000-0000-000020000000}"/>
    <cellStyle name="Dårlig" xfId="31" xr:uid="{00000000-0005-0000-0000-000021000000}"/>
    <cellStyle name="Forklarende tekst" xfId="32" xr:uid="{00000000-0005-0000-0000-000022000000}"/>
    <cellStyle name="God" xfId="33" xr:uid="{00000000-0005-0000-0000-000023000000}"/>
    <cellStyle name="Input" xfId="34" xr:uid="{00000000-0005-0000-0000-000027000000}"/>
    <cellStyle name="Komma" xfId="62" builtinId="3"/>
    <cellStyle name="komma0" xfId="35" xr:uid="{00000000-0005-0000-0000-000029000000}"/>
    <cellStyle name="komma1" xfId="36" xr:uid="{00000000-0005-0000-0000-00002A000000}"/>
    <cellStyle name="komma2" xfId="37" xr:uid="{00000000-0005-0000-0000-00002B000000}"/>
    <cellStyle name="komma4" xfId="38" xr:uid="{00000000-0005-0000-0000-00002C000000}"/>
    <cellStyle name="Kontrollér celle" xfId="39" xr:uid="{00000000-0005-0000-0000-00002D000000}"/>
    <cellStyle name="kr" xfId="40" xr:uid="{00000000-0005-0000-0000-00002E000000}"/>
    <cellStyle name="Link" xfId="63" builtinId="8" hidden="1"/>
    <cellStyle name="Link" xfId="65" builtinId="8" hidden="1"/>
    <cellStyle name="Link" xfId="67" builtinId="8" hidden="1"/>
    <cellStyle name="Markeringsfarve1" xfId="41" xr:uid="{00000000-0005-0000-0000-00002F000000}"/>
    <cellStyle name="Markeringsfarve2" xfId="42" xr:uid="{00000000-0005-0000-0000-000030000000}"/>
    <cellStyle name="Markeringsfarve3" xfId="43" xr:uid="{00000000-0005-0000-0000-000031000000}"/>
    <cellStyle name="Markeringsfarve4" xfId="44" xr:uid="{00000000-0005-0000-0000-000032000000}"/>
    <cellStyle name="Markeringsfarve5" xfId="45" xr:uid="{00000000-0005-0000-0000-000033000000}"/>
    <cellStyle name="Markeringsfarve6" xfId="46" xr:uid="{00000000-0005-0000-0000-000034000000}"/>
    <cellStyle name="Neutral" xfId="47" xr:uid="{00000000-0005-0000-0000-000035000000}"/>
    <cellStyle name="Normal" xfId="0" builtinId="0"/>
    <cellStyle name="Normal_AdmkII-03.xls" xfId="48" xr:uid="{00000000-0005-0000-0000-000037000000}"/>
    <cellStyle name="Output" xfId="49" xr:uid="{00000000-0005-0000-0000-000038000000}"/>
    <cellStyle name="Overskrift 1" xfId="50" xr:uid="{00000000-0005-0000-0000-000039000000}"/>
    <cellStyle name="Overskrift 2" xfId="51" xr:uid="{00000000-0005-0000-0000-00003A000000}"/>
    <cellStyle name="Overskrift 3" xfId="52" xr:uid="{00000000-0005-0000-0000-00003B000000}"/>
    <cellStyle name="Overskrift 4" xfId="53" xr:uid="{00000000-0005-0000-0000-00003C000000}"/>
    <cellStyle name="prc0" xfId="54" xr:uid="{00000000-0005-0000-0000-00003D000000}"/>
    <cellStyle name="prc1" xfId="55" xr:uid="{00000000-0005-0000-0000-00003E000000}"/>
    <cellStyle name="prc2" xfId="56" xr:uid="{00000000-0005-0000-0000-00003F000000}"/>
    <cellStyle name="Sammenkædet celle" xfId="57" xr:uid="{00000000-0005-0000-0000-000040000000}"/>
    <cellStyle name="skkode" xfId="58" xr:uid="{00000000-0005-0000-0000-000041000000}"/>
    <cellStyle name="skygget" xfId="59" xr:uid="{00000000-0005-0000-0000-000042000000}"/>
    <cellStyle name="Titel" xfId="60" xr:uid="{00000000-0005-0000-0000-000043000000}"/>
    <cellStyle name="Total" xfId="61" xr:uid="{00000000-0005-0000-0000-00004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B8D"/>
      <color rgb="FF000000"/>
      <color rgb="FF0A39D5"/>
      <color rgb="FF0C4CD5"/>
      <color rgb="FF006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1358900</xdr:rowOff>
    </xdr:from>
    <xdr:to>
      <xdr:col>6</xdr:col>
      <xdr:colOff>114300</xdr:colOff>
      <xdr:row>10</xdr:row>
      <xdr:rowOff>2794000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84500"/>
          <a:ext cx="6273800" cy="2794000"/>
        </a:xfrm>
        <a:prstGeom prst="rect">
          <a:avLst/>
        </a:prstGeom>
      </xdr:spPr>
    </xdr:pic>
    <xdr:clientData/>
  </xdr:twoCellAnchor>
</xdr:wsDr>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50"/>
  <sheetViews>
    <sheetView showGridLines="0" workbookViewId="0">
      <selection activeCell="C56" sqref="C56"/>
    </sheetView>
  </sheetViews>
  <sheetFormatPr baseColWidth="10" defaultRowHeight="13"/>
  <cols>
    <col min="1" max="1" width="2.140625" style="1" customWidth="1"/>
    <col min="2" max="2" width="23.28515625" style="1" customWidth="1"/>
    <col min="3" max="3" width="11.7109375" style="1" bestFit="1" customWidth="1"/>
    <col min="4" max="16384" width="10.7109375" style="1"/>
  </cols>
  <sheetData>
    <row r="1" spans="1:9" ht="23">
      <c r="A1" s="63" t="s">
        <v>97</v>
      </c>
      <c r="B1" s="3"/>
    </row>
    <row r="2" spans="1:9" ht="16">
      <c r="A2" s="46" t="s">
        <v>107</v>
      </c>
      <c r="B2" s="64"/>
    </row>
    <row r="3" spans="1:9" ht="16">
      <c r="A3" s="38"/>
      <c r="B3" s="3"/>
    </row>
    <row r="4" spans="1:9" ht="16">
      <c r="A4" s="38" t="s">
        <v>100</v>
      </c>
      <c r="B4" s="3"/>
    </row>
    <row r="5" spans="1:9" ht="16">
      <c r="A5" s="38" t="s">
        <v>101</v>
      </c>
      <c r="B5" s="3"/>
    </row>
    <row r="6" spans="1:9" ht="16">
      <c r="A6" s="38" t="s">
        <v>102</v>
      </c>
      <c r="B6" s="3"/>
    </row>
    <row r="7" spans="1:9" ht="16">
      <c r="A7" s="38" t="s">
        <v>104</v>
      </c>
      <c r="B7" s="3"/>
    </row>
    <row r="8" spans="1:9" ht="16">
      <c r="A8" s="38" t="s">
        <v>105</v>
      </c>
      <c r="B8" s="3"/>
    </row>
    <row r="9" spans="1:9" ht="16">
      <c r="A9" s="38"/>
      <c r="B9" s="3"/>
    </row>
    <row r="10" spans="1:9" ht="22" customHeight="1">
      <c r="A10" s="38" t="s">
        <v>106</v>
      </c>
      <c r="B10" s="3"/>
    </row>
    <row r="11" spans="1:9" ht="223" customHeight="1">
      <c r="A11" s="38"/>
      <c r="B11" s="3"/>
    </row>
    <row r="12" spans="1:9" ht="16">
      <c r="A12" s="141" t="s">
        <v>98</v>
      </c>
      <c r="B12" s="141"/>
      <c r="C12" s="141"/>
      <c r="D12" s="141"/>
      <c r="E12" s="141"/>
      <c r="F12" s="141"/>
      <c r="G12" s="141"/>
      <c r="H12" s="141"/>
      <c r="I12" s="141"/>
    </row>
    <row r="13" spans="1:9" ht="16">
      <c r="A13" s="38"/>
      <c r="B13" s="61"/>
    </row>
    <row r="14" spans="1:9" ht="16">
      <c r="A14" s="3" t="s">
        <v>99</v>
      </c>
      <c r="B14" s="62"/>
    </row>
    <row r="15" spans="1:9" ht="16">
      <c r="A15" s="38" t="s">
        <v>103</v>
      </c>
      <c r="B15" s="3"/>
    </row>
    <row r="16" spans="1:9" ht="16">
      <c r="A16" s="38" t="s">
        <v>108</v>
      </c>
      <c r="B16" s="39"/>
      <c r="C16" s="2"/>
    </row>
    <row r="17" spans="1:11" ht="16">
      <c r="A17" s="38"/>
      <c r="B17" s="39"/>
      <c r="C17" s="2"/>
    </row>
    <row r="18" spans="1:11" ht="16">
      <c r="A18" s="3" t="s">
        <v>33</v>
      </c>
      <c r="B18" s="39"/>
      <c r="C18" s="2"/>
    </row>
    <row r="19" spans="1:11" ht="16" customHeight="1">
      <c r="A19" s="142" t="s">
        <v>109</v>
      </c>
      <c r="B19" s="142"/>
      <c r="C19" s="142"/>
      <c r="D19" s="142"/>
      <c r="E19" s="142"/>
      <c r="F19" s="142"/>
      <c r="G19" s="142"/>
      <c r="H19" s="142"/>
      <c r="I19" s="142"/>
      <c r="J19" s="142"/>
      <c r="K19" s="142"/>
    </row>
    <row r="20" spans="1:11">
      <c r="A20" s="142"/>
      <c r="B20" s="142"/>
      <c r="C20" s="142"/>
      <c r="D20" s="142"/>
      <c r="E20" s="142"/>
      <c r="F20" s="142"/>
      <c r="G20" s="142"/>
      <c r="H20" s="142"/>
      <c r="I20" s="142"/>
      <c r="J20" s="142"/>
      <c r="K20" s="142"/>
    </row>
    <row r="21" spans="1:11" hidden="1">
      <c r="A21" s="142"/>
      <c r="B21" s="142"/>
      <c r="C21" s="142"/>
      <c r="D21" s="142"/>
      <c r="E21" s="142"/>
      <c r="F21" s="142"/>
      <c r="G21" s="142"/>
      <c r="H21" s="142"/>
      <c r="I21" s="142"/>
      <c r="J21" s="142"/>
      <c r="K21" s="142"/>
    </row>
    <row r="22" spans="1:11" ht="16" customHeight="1">
      <c r="A22" s="142" t="s">
        <v>110</v>
      </c>
      <c r="B22" s="142"/>
      <c r="C22" s="142"/>
      <c r="D22" s="142"/>
      <c r="E22" s="142"/>
      <c r="F22" s="142"/>
      <c r="G22" s="142"/>
      <c r="H22" s="142"/>
      <c r="I22" s="142"/>
      <c r="J22" s="142"/>
      <c r="K22" s="142"/>
    </row>
    <row r="23" spans="1:11">
      <c r="A23" s="142"/>
      <c r="B23" s="142"/>
      <c r="C23" s="142"/>
      <c r="D23" s="142"/>
      <c r="E23" s="142"/>
      <c r="F23" s="142"/>
      <c r="G23" s="142"/>
      <c r="H23" s="142"/>
      <c r="I23" s="142"/>
      <c r="J23" s="142"/>
      <c r="K23" s="142"/>
    </row>
    <row r="24" spans="1:11">
      <c r="B24" s="2"/>
      <c r="C24" s="2"/>
    </row>
    <row r="25" spans="1:11" ht="16">
      <c r="A25" s="3" t="s">
        <v>111</v>
      </c>
      <c r="B25" s="2"/>
      <c r="C25" s="2"/>
    </row>
    <row r="26" spans="1:11" ht="16">
      <c r="A26" s="38" t="s">
        <v>112</v>
      </c>
      <c r="B26" s="2"/>
      <c r="C26" s="2"/>
    </row>
    <row r="27" spans="1:11" ht="16">
      <c r="A27" s="66" t="s">
        <v>113</v>
      </c>
      <c r="B27" s="67"/>
      <c r="C27" s="2"/>
    </row>
    <row r="28" spans="1:11" ht="16">
      <c r="A28" s="38"/>
      <c r="B28" s="2"/>
      <c r="C28" s="2"/>
    </row>
    <row r="29" spans="1:11" ht="16">
      <c r="A29" s="3" t="s">
        <v>123</v>
      </c>
      <c r="B29" s="2"/>
      <c r="C29" s="2"/>
    </row>
    <row r="30" spans="1:11" ht="16">
      <c r="A30" s="38" t="s">
        <v>114</v>
      </c>
      <c r="B30" s="2"/>
      <c r="C30" s="2"/>
    </row>
    <row r="31" spans="1:11" ht="16">
      <c r="A31" s="38" t="s">
        <v>115</v>
      </c>
      <c r="B31" s="2"/>
      <c r="C31" s="2"/>
    </row>
    <row r="32" spans="1:11" ht="16">
      <c r="A32" s="38"/>
      <c r="B32" s="2"/>
      <c r="C32" s="2"/>
    </row>
    <row r="33" spans="1:11" ht="16">
      <c r="A33" s="3" t="s">
        <v>124</v>
      </c>
      <c r="B33" s="2"/>
      <c r="C33" s="2"/>
    </row>
    <row r="34" spans="1:11" ht="16" customHeight="1">
      <c r="A34" s="142" t="s">
        <v>116</v>
      </c>
      <c r="B34" s="142"/>
      <c r="C34" s="142"/>
      <c r="D34" s="142"/>
      <c r="E34" s="142"/>
      <c r="F34" s="142"/>
      <c r="G34" s="142"/>
      <c r="H34" s="142"/>
      <c r="I34" s="142"/>
      <c r="J34" s="142"/>
      <c r="K34" s="142"/>
    </row>
    <row r="35" spans="1:11" ht="16" customHeight="1">
      <c r="A35" s="142"/>
      <c r="B35" s="142"/>
      <c r="C35" s="142"/>
      <c r="D35" s="142"/>
      <c r="E35" s="142"/>
      <c r="F35" s="142"/>
      <c r="G35" s="142"/>
      <c r="H35" s="142"/>
      <c r="I35" s="142"/>
      <c r="J35" s="142"/>
      <c r="K35" s="142"/>
    </row>
    <row r="36" spans="1:11" ht="16">
      <c r="A36" s="38" t="s">
        <v>117</v>
      </c>
      <c r="B36" s="35"/>
      <c r="C36" s="2"/>
    </row>
    <row r="37" spans="1:11" ht="16">
      <c r="A37" s="38"/>
      <c r="B37" s="35"/>
      <c r="C37" s="2"/>
    </row>
    <row r="38" spans="1:11" ht="16">
      <c r="A38" s="3" t="s">
        <v>118</v>
      </c>
      <c r="B38" s="2"/>
      <c r="C38" s="2"/>
    </row>
    <row r="39" spans="1:11" ht="16">
      <c r="A39" s="38" t="s">
        <v>119</v>
      </c>
      <c r="B39" s="2"/>
      <c r="C39" s="2"/>
    </row>
    <row r="40" spans="1:11" ht="16">
      <c r="A40" s="38" t="s">
        <v>120</v>
      </c>
      <c r="B40" s="2"/>
      <c r="C40" s="2"/>
    </row>
    <row r="41" spans="1:11" ht="16">
      <c r="A41" s="38" t="s">
        <v>121</v>
      </c>
      <c r="B41" s="2"/>
      <c r="C41" s="36"/>
    </row>
    <row r="42" spans="1:11" ht="16">
      <c r="A42" s="38" t="s">
        <v>122</v>
      </c>
      <c r="B42" s="65"/>
      <c r="C42" s="2"/>
    </row>
    <row r="43" spans="1:11" ht="16">
      <c r="A43" s="38"/>
      <c r="B43" s="39"/>
      <c r="C43" s="2"/>
      <c r="E43" s="4"/>
    </row>
    <row r="44" spans="1:11" ht="16">
      <c r="A44" s="3" t="s">
        <v>126</v>
      </c>
      <c r="B44" s="39"/>
      <c r="C44" s="2"/>
      <c r="E44" s="4"/>
    </row>
    <row r="45" spans="1:11" ht="16" customHeight="1">
      <c r="A45" s="142" t="s">
        <v>125</v>
      </c>
      <c r="B45" s="142"/>
      <c r="C45" s="142"/>
      <c r="D45" s="142"/>
      <c r="E45" s="142"/>
      <c r="F45" s="142"/>
      <c r="G45" s="142"/>
      <c r="H45" s="142"/>
      <c r="I45" s="142"/>
      <c r="J45" s="142"/>
      <c r="K45" s="142"/>
    </row>
    <row r="46" spans="1:11" ht="16" customHeight="1">
      <c r="A46" s="142"/>
      <c r="B46" s="142"/>
      <c r="C46" s="142"/>
      <c r="D46" s="142"/>
      <c r="E46" s="142"/>
      <c r="F46" s="142"/>
      <c r="G46" s="142"/>
      <c r="H46" s="142"/>
      <c r="I46" s="142"/>
      <c r="J46" s="142"/>
      <c r="K46" s="142"/>
    </row>
    <row r="47" spans="1:11" ht="16">
      <c r="A47" s="38"/>
      <c r="B47" s="38"/>
      <c r="E47" s="4"/>
    </row>
    <row r="48" spans="1:11" ht="16">
      <c r="A48" s="38"/>
      <c r="B48" s="38"/>
    </row>
    <row r="49" spans="1:2" ht="16">
      <c r="A49" s="38"/>
      <c r="B49" s="38"/>
    </row>
    <row r="50" spans="1:2" ht="16">
      <c r="A50" s="38"/>
      <c r="B50" s="38"/>
    </row>
  </sheetData>
  <sheetProtection sheet="1" objects="1" scenarios="1"/>
  <mergeCells count="5">
    <mergeCell ref="A12:I12"/>
    <mergeCell ref="A19:K21"/>
    <mergeCell ref="A22:K23"/>
    <mergeCell ref="A34:K35"/>
    <mergeCell ref="A45:K46"/>
  </mergeCells>
  <phoneticPr fontId="10"/>
  <pageMargins left="0.74803149606299213" right="0.74803149606299213" top="0.98425196850393704" bottom="0.98425196850393704" header="0.51181102362204722" footer="0.51181102362204722"/>
  <pageSetup scale="58" orientation="portrait" horizontalDpi="4294967292" verticalDpi="4294967292"/>
  <headerFooter>
    <oddFooter>&amp;L&amp;F, &amp;A&amp;CFriskolernes Kontor &amp;ROle Mikkelsen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46"/>
  <sheetViews>
    <sheetView workbookViewId="0">
      <selection activeCell="B38" sqref="B38"/>
    </sheetView>
  </sheetViews>
  <sheetFormatPr baseColWidth="10" defaultRowHeight="13"/>
  <cols>
    <col min="1" max="1" width="36" style="1" customWidth="1"/>
    <col min="2" max="2" width="14.42578125" style="1" customWidth="1"/>
    <col min="3" max="3" width="16.140625" style="1" customWidth="1"/>
    <col min="4" max="4" width="19.5703125" style="1" customWidth="1"/>
    <col min="5" max="5" width="0.140625" style="1" customWidth="1"/>
    <col min="6" max="6" width="11.5703125" style="1" customWidth="1"/>
    <col min="7" max="7" width="0.140625" style="1" customWidth="1"/>
    <col min="8" max="8" width="9.85546875" style="1" customWidth="1"/>
    <col min="9" max="9" width="9.28515625" style="1" customWidth="1"/>
    <col min="10" max="10" width="31.140625" style="1" customWidth="1"/>
    <col min="11" max="16384" width="10.7109375" style="1"/>
  </cols>
  <sheetData>
    <row r="1" spans="1:11" ht="25">
      <c r="A1" s="164" t="str">
        <f>"Feriefradrag for "&amp;C5&amp;" mdr."</f>
        <v>Feriefradrag for Juli mdr.</v>
      </c>
      <c r="B1" s="165"/>
      <c r="C1" s="165"/>
      <c r="D1" s="165"/>
      <c r="E1" s="165"/>
      <c r="F1" s="165"/>
      <c r="G1" s="166"/>
      <c r="H1" s="54"/>
      <c r="I1" s="54"/>
      <c r="J1" s="54"/>
      <c r="K1" s="54"/>
    </row>
    <row r="2" spans="1:11" ht="11" customHeight="1">
      <c r="A2" s="167"/>
      <c r="B2" s="168"/>
      <c r="C2" s="168"/>
      <c r="D2" s="168"/>
      <c r="E2" s="168"/>
      <c r="F2" s="168"/>
      <c r="G2" s="169"/>
      <c r="H2" s="54"/>
      <c r="I2" s="54"/>
      <c r="J2" s="54"/>
      <c r="K2" s="54"/>
    </row>
    <row r="3" spans="1:11" ht="20" customHeight="1">
      <c r="A3" s="155" t="s">
        <v>64</v>
      </c>
      <c r="B3" s="156"/>
      <c r="C3" s="180" t="s">
        <v>185</v>
      </c>
      <c r="D3" s="181"/>
      <c r="E3" s="181"/>
      <c r="F3" s="181"/>
      <c r="G3" s="182"/>
      <c r="H3" s="54"/>
      <c r="I3" s="54"/>
      <c r="J3" s="54"/>
      <c r="K3" s="54"/>
    </row>
    <row r="4" spans="1:11" ht="24" customHeight="1">
      <c r="A4" s="155" t="s">
        <v>74</v>
      </c>
      <c r="B4" s="156"/>
      <c r="C4" s="178">
        <v>17.3</v>
      </c>
      <c r="D4" s="178"/>
      <c r="E4" s="178"/>
      <c r="F4" s="178"/>
      <c r="G4" s="179"/>
      <c r="H4" s="54"/>
      <c r="I4" s="183"/>
      <c r="J4" s="183"/>
      <c r="K4" s="54"/>
    </row>
    <row r="5" spans="1:11" ht="24" customHeight="1">
      <c r="A5" s="155" t="s">
        <v>84</v>
      </c>
      <c r="B5" s="156"/>
      <c r="C5" s="157" t="s">
        <v>187</v>
      </c>
      <c r="D5" s="158"/>
      <c r="E5" s="158"/>
      <c r="F5" s="158"/>
      <c r="G5" s="159"/>
      <c r="H5" s="54"/>
      <c r="I5" s="55"/>
      <c r="J5" s="55"/>
      <c r="K5" s="54"/>
    </row>
    <row r="6" spans="1:11" ht="24" customHeight="1">
      <c r="A6" s="155" t="s">
        <v>88</v>
      </c>
      <c r="B6" s="156"/>
      <c r="C6" s="152">
        <v>18</v>
      </c>
      <c r="D6" s="153"/>
      <c r="E6" s="153"/>
      <c r="F6" s="153"/>
      <c r="G6" s="154"/>
      <c r="H6" s="58" t="s">
        <v>89</v>
      </c>
      <c r="I6" s="59"/>
      <c r="J6" s="59"/>
      <c r="K6" s="58"/>
    </row>
    <row r="7" spans="1:11" ht="28" customHeight="1">
      <c r="A7" s="155" t="s">
        <v>87</v>
      </c>
      <c r="B7" s="156"/>
      <c r="C7" s="152">
        <v>10.4</v>
      </c>
      <c r="D7" s="153"/>
      <c r="E7" s="153"/>
      <c r="F7" s="153"/>
      <c r="G7" s="154"/>
      <c r="H7" s="163" t="s">
        <v>90</v>
      </c>
      <c r="I7" s="163"/>
      <c r="J7" s="163"/>
      <c r="K7" s="58"/>
    </row>
    <row r="8" spans="1:11" ht="24" customHeight="1">
      <c r="A8" s="155" t="s">
        <v>86</v>
      </c>
      <c r="B8" s="156"/>
      <c r="C8" s="173">
        <f>C6-C7</f>
        <v>7.6</v>
      </c>
      <c r="D8" s="174"/>
      <c r="E8" s="174"/>
      <c r="F8" s="174"/>
      <c r="G8" s="175"/>
      <c r="H8" s="58" t="s">
        <v>91</v>
      </c>
      <c r="I8" s="59"/>
      <c r="J8" s="59"/>
      <c r="K8" s="58"/>
    </row>
    <row r="9" spans="1:11" ht="30" customHeight="1" thickBot="1">
      <c r="A9" s="176" t="s">
        <v>82</v>
      </c>
      <c r="B9" s="177"/>
      <c r="C9" s="170">
        <v>4.62</v>
      </c>
      <c r="D9" s="171"/>
      <c r="E9" s="171"/>
      <c r="F9" s="171"/>
      <c r="G9" s="172"/>
      <c r="H9" s="163" t="s">
        <v>83</v>
      </c>
      <c r="I9" s="163"/>
      <c r="J9" s="163"/>
      <c r="K9" s="163"/>
    </row>
    <row r="10" spans="1:11" ht="24" customHeight="1" thickBot="1">
      <c r="A10" s="41"/>
      <c r="B10" s="42"/>
      <c r="C10" s="42"/>
      <c r="D10" s="42"/>
      <c r="E10" s="42"/>
      <c r="F10" s="42"/>
      <c r="H10" s="55"/>
      <c r="I10" s="55"/>
      <c r="J10" s="56"/>
      <c r="K10" s="56"/>
    </row>
    <row r="11" spans="1:11" ht="33" customHeight="1">
      <c r="A11" s="160" t="str">
        <f>"Faste løndele på ferietidspunktet - "&amp;C5&amp;" mdr."</f>
        <v>Faste løndele på ferietidspunktet - Juli mdr.</v>
      </c>
      <c r="B11" s="161"/>
      <c r="C11" s="161"/>
      <c r="D11" s="162"/>
      <c r="E11" s="56"/>
    </row>
    <row r="12" spans="1:11" ht="83" customHeight="1">
      <c r="A12" s="47" t="s">
        <v>69</v>
      </c>
      <c r="B12" s="43" t="s">
        <v>92</v>
      </c>
      <c r="C12" s="45" t="s">
        <v>186</v>
      </c>
      <c r="D12" s="133" t="s">
        <v>75</v>
      </c>
      <c r="E12" s="56"/>
    </row>
    <row r="13" spans="1:11" ht="14" customHeight="1">
      <c r="A13" s="48" t="s">
        <v>68</v>
      </c>
      <c r="B13" s="123">
        <v>25714.13</v>
      </c>
      <c r="C13" s="126" t="s">
        <v>65</v>
      </c>
      <c r="D13" s="134">
        <f>IF(C13&gt;0,B13*$C$4%,"0")</f>
        <v>4448.5444900000002</v>
      </c>
      <c r="E13" s="56"/>
    </row>
    <row r="14" spans="1:11" ht="14" customHeight="1">
      <c r="A14" s="48" t="s">
        <v>34</v>
      </c>
      <c r="B14" s="124">
        <v>900</v>
      </c>
      <c r="C14" s="44"/>
      <c r="D14" s="135"/>
      <c r="E14" s="56" t="s">
        <v>65</v>
      </c>
    </row>
    <row r="15" spans="1:11" ht="14" customHeight="1">
      <c r="A15" s="48" t="s">
        <v>4</v>
      </c>
      <c r="B15" s="124">
        <v>250</v>
      </c>
      <c r="C15" s="126" t="s">
        <v>65</v>
      </c>
      <c r="D15" s="134">
        <f t="shared" ref="D15:D36" si="0">IF(C15&gt;0,B15*$C$4%,"0")</f>
        <v>43.250000000000007</v>
      </c>
      <c r="E15" s="56"/>
    </row>
    <row r="16" spans="1:11" ht="14" customHeight="1">
      <c r="A16" s="48" t="s">
        <v>5</v>
      </c>
      <c r="B16" s="124">
        <v>2300</v>
      </c>
      <c r="C16" s="126" t="s">
        <v>65</v>
      </c>
      <c r="D16" s="134">
        <f t="shared" si="0"/>
        <v>397.90000000000003</v>
      </c>
      <c r="E16" s="56"/>
    </row>
    <row r="17" spans="1:5" ht="14" customHeight="1">
      <c r="A17" s="48" t="s">
        <v>6</v>
      </c>
      <c r="B17" s="124"/>
      <c r="C17" s="126"/>
      <c r="D17" s="134" t="str">
        <f t="shared" si="0"/>
        <v>0</v>
      </c>
      <c r="E17" s="56"/>
    </row>
    <row r="18" spans="1:5" ht="14" customHeight="1">
      <c r="A18" s="48" t="s">
        <v>7</v>
      </c>
      <c r="B18" s="124">
        <v>2500</v>
      </c>
      <c r="C18" s="126" t="s">
        <v>65</v>
      </c>
      <c r="D18" s="134">
        <f t="shared" si="0"/>
        <v>432.50000000000006</v>
      </c>
      <c r="E18" s="56"/>
    </row>
    <row r="19" spans="1:5" ht="14" customHeight="1">
      <c r="A19" s="48" t="s">
        <v>8</v>
      </c>
      <c r="B19" s="124"/>
      <c r="C19" s="126"/>
      <c r="D19" s="134" t="str">
        <f t="shared" si="0"/>
        <v>0</v>
      </c>
      <c r="E19" s="56"/>
    </row>
    <row r="20" spans="1:5" ht="14" customHeight="1">
      <c r="A20" s="48" t="s">
        <v>0</v>
      </c>
      <c r="B20" s="125"/>
      <c r="C20" s="126"/>
      <c r="D20" s="134" t="str">
        <f t="shared" si="0"/>
        <v>0</v>
      </c>
      <c r="E20" s="56"/>
    </row>
    <row r="21" spans="1:5" ht="14" customHeight="1">
      <c r="A21" s="48" t="s">
        <v>67</v>
      </c>
      <c r="B21" s="125">
        <v>478.07</v>
      </c>
      <c r="C21" s="44"/>
      <c r="D21" s="135"/>
      <c r="E21" s="56"/>
    </row>
    <row r="22" spans="1:5" ht="14" customHeight="1">
      <c r="A22" s="48" t="s">
        <v>63</v>
      </c>
      <c r="B22" s="125">
        <v>257.42</v>
      </c>
      <c r="C22" s="126" t="s">
        <v>65</v>
      </c>
      <c r="D22" s="134">
        <f>IF(C22&gt;0,B22*$C$4%,"0")</f>
        <v>44.533660000000005</v>
      </c>
      <c r="E22" s="56"/>
    </row>
    <row r="23" spans="1:5" ht="14" customHeight="1">
      <c r="A23" s="48" t="s">
        <v>183</v>
      </c>
      <c r="B23" s="125">
        <v>82.74</v>
      </c>
      <c r="C23" s="126" t="s">
        <v>65</v>
      </c>
      <c r="D23" s="134">
        <f>IF(C23&gt;0,B23*$C$4%,"0")</f>
        <v>14.314020000000001</v>
      </c>
      <c r="E23" s="56"/>
    </row>
    <row r="24" spans="1:5" ht="14" customHeight="1">
      <c r="A24" s="48" t="s">
        <v>62</v>
      </c>
      <c r="B24" s="125"/>
      <c r="C24" s="126"/>
      <c r="D24" s="134" t="str">
        <f t="shared" si="0"/>
        <v>0</v>
      </c>
      <c r="E24" s="56"/>
    </row>
    <row r="25" spans="1:5" ht="14" customHeight="1">
      <c r="A25" s="48" t="s">
        <v>66</v>
      </c>
      <c r="B25" s="125"/>
      <c r="C25" s="126"/>
      <c r="D25" s="134" t="str">
        <f t="shared" si="0"/>
        <v>0</v>
      </c>
      <c r="E25" s="56"/>
    </row>
    <row r="26" spans="1:5" ht="14" customHeight="1">
      <c r="A26" s="48" t="s">
        <v>66</v>
      </c>
      <c r="B26" s="125"/>
      <c r="C26" s="126"/>
      <c r="D26" s="134" t="str">
        <f t="shared" si="0"/>
        <v>0</v>
      </c>
      <c r="E26" s="56"/>
    </row>
    <row r="27" spans="1:5" ht="14" customHeight="1">
      <c r="A27" s="48" t="s">
        <v>66</v>
      </c>
      <c r="B27" s="125"/>
      <c r="C27" s="126"/>
      <c r="D27" s="134" t="str">
        <f t="shared" si="0"/>
        <v>0</v>
      </c>
      <c r="E27" s="56"/>
    </row>
    <row r="28" spans="1:5" ht="21" customHeight="1">
      <c r="A28" s="47" t="s">
        <v>70</v>
      </c>
      <c r="B28" s="40"/>
      <c r="C28" s="60"/>
      <c r="D28" s="136"/>
      <c r="E28" s="56"/>
    </row>
    <row r="29" spans="1:5" ht="14" customHeight="1">
      <c r="A29" s="48" t="s">
        <v>76</v>
      </c>
      <c r="B29" s="125"/>
      <c r="C29" s="126"/>
      <c r="D29" s="134" t="str">
        <f t="shared" si="0"/>
        <v>0</v>
      </c>
      <c r="E29" s="56"/>
    </row>
    <row r="30" spans="1:5" ht="14" customHeight="1">
      <c r="A30" s="48" t="s">
        <v>77</v>
      </c>
      <c r="B30" s="125"/>
      <c r="C30" s="44"/>
      <c r="D30" s="135"/>
      <c r="E30" s="56"/>
    </row>
    <row r="31" spans="1:5" ht="14" customHeight="1">
      <c r="A31" s="48" t="s">
        <v>96</v>
      </c>
      <c r="B31" s="125"/>
      <c r="C31" s="44"/>
      <c r="D31" s="135"/>
      <c r="E31" s="56"/>
    </row>
    <row r="32" spans="1:5" ht="14" customHeight="1">
      <c r="A32" s="48" t="s">
        <v>78</v>
      </c>
      <c r="B32" s="125"/>
      <c r="C32" s="126"/>
      <c r="D32" s="134" t="str">
        <f t="shared" si="0"/>
        <v>0</v>
      </c>
      <c r="E32" s="56"/>
    </row>
    <row r="33" spans="1:12" ht="14" customHeight="1">
      <c r="A33" s="48" t="s">
        <v>71</v>
      </c>
      <c r="B33" s="125"/>
      <c r="C33" s="44"/>
      <c r="D33" s="135"/>
      <c r="E33" s="56"/>
    </row>
    <row r="34" spans="1:12" ht="14" customHeight="1">
      <c r="A34" s="48" t="s">
        <v>72</v>
      </c>
      <c r="B34" s="125"/>
      <c r="C34" s="126"/>
      <c r="D34" s="134" t="str">
        <f t="shared" si="0"/>
        <v>0</v>
      </c>
      <c r="E34" s="56"/>
    </row>
    <row r="35" spans="1:12" ht="14" customHeight="1">
      <c r="A35" s="48" t="s">
        <v>73</v>
      </c>
      <c r="B35" s="125"/>
      <c r="C35" s="126"/>
      <c r="D35" s="134" t="str">
        <f t="shared" si="0"/>
        <v>0</v>
      </c>
      <c r="E35" s="56"/>
    </row>
    <row r="36" spans="1:12" ht="15" customHeight="1" thickBot="1">
      <c r="A36" s="49" t="s">
        <v>66</v>
      </c>
      <c r="B36" s="127"/>
      <c r="C36" s="126"/>
      <c r="D36" s="137" t="str">
        <f t="shared" si="0"/>
        <v>0</v>
      </c>
      <c r="E36" s="56"/>
    </row>
    <row r="37" spans="1:12" ht="14" thickBot="1">
      <c r="A37" s="50"/>
      <c r="B37" s="51">
        <f>SUM(B13:B36)</f>
        <v>32482.36</v>
      </c>
      <c r="C37" s="52"/>
      <c r="D37" s="53">
        <f>SUM(D13:D36)</f>
        <v>5381.0421699999997</v>
      </c>
    </row>
    <row r="38" spans="1:12" ht="5" customHeight="1">
      <c r="C38" s="5"/>
      <c r="D38" s="5"/>
    </row>
    <row r="39" spans="1:12" ht="16">
      <c r="A39" s="46" t="s">
        <v>35</v>
      </c>
      <c r="C39" s="5"/>
      <c r="D39" s="5"/>
      <c r="J39" s="37"/>
    </row>
    <row r="40" spans="1:12" ht="16">
      <c r="A40" s="46" t="s">
        <v>79</v>
      </c>
      <c r="B40" s="6"/>
      <c r="J40" s="37"/>
    </row>
    <row r="41" spans="1:12">
      <c r="B41" s="6"/>
    </row>
    <row r="42" spans="1:12" ht="14" thickBot="1"/>
    <row r="43" spans="1:12" ht="26" thickBot="1">
      <c r="A43" s="149" t="str">
        <f>"Feriefradrag i "&amp;C5&amp;" mdr"</f>
        <v>Feriefradrag i Juli mdr</v>
      </c>
      <c r="B43" s="150"/>
      <c r="C43" s="150"/>
      <c r="D43" s="150"/>
      <c r="E43" s="150"/>
      <c r="F43" s="151"/>
    </row>
    <row r="44" spans="1:12" ht="19" customHeight="1">
      <c r="A44" s="146" t="s">
        <v>94</v>
      </c>
      <c r="B44" s="147"/>
      <c r="C44" s="147"/>
      <c r="D44" s="147"/>
      <c r="E44" s="148"/>
      <c r="F44" s="138">
        <f>IF(C8&gt;0,D37/C4%*C8*C9%*-1,0)</f>
        <v>-10921.338304799998</v>
      </c>
      <c r="G44" s="128"/>
      <c r="H44" s="57"/>
      <c r="I44" s="57"/>
      <c r="J44" s="57"/>
      <c r="K44" s="57"/>
      <c r="L44" s="57"/>
    </row>
    <row r="45" spans="1:12" ht="20" customHeight="1">
      <c r="A45" s="131" t="s">
        <v>93</v>
      </c>
      <c r="B45" s="132"/>
      <c r="C45" s="132"/>
      <c r="D45" s="132"/>
      <c r="E45" s="140"/>
      <c r="F45" s="138">
        <f>IF(C8&gt;0,B37*C8*C9%*-1-F44,0)</f>
        <v>-483.86793840000064</v>
      </c>
      <c r="G45" s="128"/>
      <c r="H45" s="57"/>
      <c r="I45" s="57"/>
      <c r="J45" s="57"/>
      <c r="K45" s="57"/>
      <c r="L45" s="57"/>
    </row>
    <row r="46" spans="1:12" ht="22" customHeight="1" thickBot="1">
      <c r="A46" s="143" t="s">
        <v>95</v>
      </c>
      <c r="B46" s="144"/>
      <c r="C46" s="144"/>
      <c r="D46" s="144"/>
      <c r="E46" s="145"/>
      <c r="F46" s="139">
        <f>IF(C8&gt;0,D37*C8*C9%*-1,0)</f>
        <v>-1889.3915267303998</v>
      </c>
    </row>
  </sheetData>
  <sheetProtection sheet="1" objects="1" scenarios="1"/>
  <mergeCells count="23">
    <mergeCell ref="H9:K9"/>
    <mergeCell ref="A1:G1"/>
    <mergeCell ref="A2:G2"/>
    <mergeCell ref="C9:G9"/>
    <mergeCell ref="C8:G8"/>
    <mergeCell ref="A8:B8"/>
    <mergeCell ref="A9:B9"/>
    <mergeCell ref="C4:G4"/>
    <mergeCell ref="A3:B3"/>
    <mergeCell ref="C3:G3"/>
    <mergeCell ref="H7:J7"/>
    <mergeCell ref="I4:J4"/>
    <mergeCell ref="A46:E46"/>
    <mergeCell ref="A44:E44"/>
    <mergeCell ref="A43:F43"/>
    <mergeCell ref="C6:G6"/>
    <mergeCell ref="A4:B4"/>
    <mergeCell ref="A5:B5"/>
    <mergeCell ref="C5:G5"/>
    <mergeCell ref="A11:D11"/>
    <mergeCell ref="A6:B6"/>
    <mergeCell ref="A7:B7"/>
    <mergeCell ref="C7:G7"/>
  </mergeCells>
  <phoneticPr fontId="10"/>
  <dataValidations count="1">
    <dataValidation type="list" allowBlank="1" showInputMessage="1" showErrorMessage="1" sqref="C34:C36 C22:C29 C17:C20 C15:C16 C13 C32" xr:uid="{00000000-0002-0000-0100-000001000000}">
      <formula1>$E$13:$E$14</formula1>
    </dataValidation>
  </dataValidations>
  <pageMargins left="0.74803149606299213" right="0.74803149606299213" top="0.98425196850393704" bottom="0.98425196850393704" header="0.51181102362204722" footer="0.51181102362204722"/>
  <pageSetup paperSize="9" scale="51" orientation="portrait" horizontalDpi="4294967292" verticalDpi="4294967292"/>
  <headerFooter>
    <oddFooter>&amp;L&amp;F, &amp;A&amp;CFriskolernes Kontor &amp;ROle Mikkelsen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2F002-75CC-8B42-88BA-D1C381F2177F}">
  <sheetPr>
    <tabColor rgb="FFFF0000"/>
    <pageSetUpPr fitToPage="1"/>
  </sheetPr>
  <dimension ref="A1:L46"/>
  <sheetViews>
    <sheetView tabSelected="1" workbookViewId="0">
      <selection activeCell="A17" sqref="A17:XFD17"/>
    </sheetView>
  </sheetViews>
  <sheetFormatPr baseColWidth="10" defaultRowHeight="13"/>
  <cols>
    <col min="1" max="1" width="36" style="1" customWidth="1"/>
    <col min="2" max="2" width="14.42578125" style="1" customWidth="1"/>
    <col min="3" max="3" width="16.140625" style="1" customWidth="1"/>
    <col min="4" max="4" width="19.5703125" style="1" customWidth="1"/>
    <col min="5" max="5" width="0.140625" style="1" customWidth="1"/>
    <col min="6" max="6" width="11.5703125" style="1" customWidth="1"/>
    <col min="7" max="7" width="0.140625" style="1" customWidth="1"/>
    <col min="8" max="8" width="9.85546875" style="1" customWidth="1"/>
    <col min="9" max="9" width="9.28515625" style="1" customWidth="1"/>
    <col min="10" max="10" width="31.140625" style="1" customWidth="1"/>
    <col min="11" max="16384" width="10.7109375" style="1"/>
  </cols>
  <sheetData>
    <row r="1" spans="1:11" ht="25">
      <c r="A1" s="164" t="str">
        <f>"Feriefradrag for "&amp;C5&amp;" mdr."</f>
        <v>Feriefradrag for  mdr.</v>
      </c>
      <c r="B1" s="165"/>
      <c r="C1" s="165"/>
      <c r="D1" s="165"/>
      <c r="E1" s="165"/>
      <c r="F1" s="165"/>
      <c r="G1" s="166"/>
      <c r="H1" s="54"/>
      <c r="I1" s="54"/>
      <c r="J1" s="54"/>
      <c r="K1" s="54"/>
    </row>
    <row r="2" spans="1:11" ht="11" customHeight="1">
      <c r="A2" s="167"/>
      <c r="B2" s="168"/>
      <c r="C2" s="168"/>
      <c r="D2" s="168"/>
      <c r="E2" s="168"/>
      <c r="F2" s="168"/>
      <c r="G2" s="169"/>
      <c r="H2" s="54"/>
      <c r="I2" s="54"/>
      <c r="J2" s="54"/>
      <c r="K2" s="54"/>
    </row>
    <row r="3" spans="1:11" ht="20" customHeight="1">
      <c r="A3" s="155" t="s">
        <v>64</v>
      </c>
      <c r="B3" s="156"/>
      <c r="C3" s="180"/>
      <c r="D3" s="181"/>
      <c r="E3" s="181"/>
      <c r="F3" s="181"/>
      <c r="G3" s="182"/>
      <c r="H3" s="54"/>
      <c r="I3" s="54"/>
      <c r="J3" s="54"/>
      <c r="K3" s="54"/>
    </row>
    <row r="4" spans="1:11" ht="24" customHeight="1">
      <c r="A4" s="155" t="s">
        <v>74</v>
      </c>
      <c r="B4" s="156"/>
      <c r="C4" s="178"/>
      <c r="D4" s="178"/>
      <c r="E4" s="178"/>
      <c r="F4" s="178"/>
      <c r="G4" s="179"/>
      <c r="H4" s="54"/>
      <c r="I4" s="183"/>
      <c r="J4" s="183"/>
      <c r="K4" s="54"/>
    </row>
    <row r="5" spans="1:11" ht="24" customHeight="1">
      <c r="A5" s="155" t="s">
        <v>84</v>
      </c>
      <c r="B5" s="156"/>
      <c r="C5" s="157"/>
      <c r="D5" s="158"/>
      <c r="E5" s="158"/>
      <c r="F5" s="158"/>
      <c r="G5" s="159"/>
      <c r="H5" s="54"/>
      <c r="I5" s="55"/>
      <c r="J5" s="55"/>
      <c r="K5" s="54"/>
    </row>
    <row r="6" spans="1:11" ht="24" customHeight="1">
      <c r="A6" s="155" t="s">
        <v>88</v>
      </c>
      <c r="B6" s="156"/>
      <c r="C6" s="152"/>
      <c r="D6" s="153"/>
      <c r="E6" s="153"/>
      <c r="F6" s="153"/>
      <c r="G6" s="154"/>
      <c r="H6" s="58" t="s">
        <v>89</v>
      </c>
      <c r="I6" s="59"/>
      <c r="J6" s="59"/>
      <c r="K6" s="58"/>
    </row>
    <row r="7" spans="1:11" ht="28" customHeight="1">
      <c r="A7" s="155" t="s">
        <v>87</v>
      </c>
      <c r="B7" s="156"/>
      <c r="C7" s="152"/>
      <c r="D7" s="153"/>
      <c r="E7" s="153"/>
      <c r="F7" s="153"/>
      <c r="G7" s="154"/>
      <c r="H7" s="163" t="s">
        <v>90</v>
      </c>
      <c r="I7" s="163"/>
      <c r="J7" s="163"/>
      <c r="K7" s="58"/>
    </row>
    <row r="8" spans="1:11" ht="24" customHeight="1">
      <c r="A8" s="155" t="s">
        <v>86</v>
      </c>
      <c r="B8" s="156"/>
      <c r="C8" s="173">
        <f>C6-C7</f>
        <v>0</v>
      </c>
      <c r="D8" s="174"/>
      <c r="E8" s="174"/>
      <c r="F8" s="174"/>
      <c r="G8" s="175"/>
      <c r="H8" s="58" t="s">
        <v>91</v>
      </c>
      <c r="I8" s="59"/>
      <c r="J8" s="59"/>
      <c r="K8" s="58"/>
    </row>
    <row r="9" spans="1:11" ht="30" customHeight="1" thickBot="1">
      <c r="A9" s="176" t="s">
        <v>82</v>
      </c>
      <c r="B9" s="177"/>
      <c r="C9" s="170"/>
      <c r="D9" s="171"/>
      <c r="E9" s="171"/>
      <c r="F9" s="171"/>
      <c r="G9" s="172"/>
      <c r="H9" s="163" t="s">
        <v>83</v>
      </c>
      <c r="I9" s="163"/>
      <c r="J9" s="163"/>
      <c r="K9" s="163"/>
    </row>
    <row r="10" spans="1:11" ht="24" customHeight="1" thickBot="1">
      <c r="A10" s="41"/>
      <c r="B10" s="42"/>
      <c r="C10" s="42"/>
      <c r="D10" s="42"/>
      <c r="E10" s="42"/>
      <c r="F10" s="42"/>
      <c r="H10" s="55"/>
      <c r="I10" s="55"/>
      <c r="J10" s="56"/>
      <c r="K10" s="56"/>
    </row>
    <row r="11" spans="1:11" ht="33" customHeight="1">
      <c r="A11" s="160" t="str">
        <f>"Faste løndele på ferietidspunktet - "&amp;C5&amp;" mdr."</f>
        <v>Faste løndele på ferietidspunktet -  mdr.</v>
      </c>
      <c r="B11" s="161"/>
      <c r="C11" s="161"/>
      <c r="D11" s="162"/>
      <c r="E11" s="56"/>
    </row>
    <row r="12" spans="1:11" ht="83" customHeight="1">
      <c r="A12" s="47" t="s">
        <v>69</v>
      </c>
      <c r="B12" s="43" t="s">
        <v>92</v>
      </c>
      <c r="C12" s="45" t="s">
        <v>186</v>
      </c>
      <c r="D12" s="133" t="s">
        <v>75</v>
      </c>
      <c r="E12" s="56"/>
    </row>
    <row r="13" spans="1:11" ht="14" customHeight="1">
      <c r="A13" s="48" t="s">
        <v>68</v>
      </c>
      <c r="B13" s="123"/>
      <c r="C13" s="126"/>
      <c r="D13" s="134" t="str">
        <f>IF(C13&gt;0,B13*$C$4%,"0")</f>
        <v>0</v>
      </c>
      <c r="E13" s="56"/>
    </row>
    <row r="14" spans="1:11" ht="14" customHeight="1">
      <c r="A14" s="48" t="s">
        <v>34</v>
      </c>
      <c r="B14" s="124"/>
      <c r="C14" s="44"/>
      <c r="D14" s="135"/>
      <c r="E14" s="56" t="s">
        <v>65</v>
      </c>
    </row>
    <row r="15" spans="1:11" ht="14" customHeight="1">
      <c r="A15" s="48" t="s">
        <v>4</v>
      </c>
      <c r="B15" s="124"/>
      <c r="C15" s="126"/>
      <c r="D15" s="134" t="str">
        <f t="shared" ref="D15:D36" si="0">IF(C15&gt;0,B15*$C$4%,"0")</f>
        <v>0</v>
      </c>
      <c r="E15" s="56"/>
    </row>
    <row r="16" spans="1:11" ht="14" customHeight="1">
      <c r="A16" s="48" t="s">
        <v>5</v>
      </c>
      <c r="B16" s="124"/>
      <c r="C16" s="126"/>
      <c r="D16" s="134" t="str">
        <f t="shared" si="0"/>
        <v>0</v>
      </c>
      <c r="E16" s="56"/>
    </row>
    <row r="17" spans="1:5" ht="14" customHeight="1">
      <c r="A17" s="48" t="s">
        <v>6</v>
      </c>
      <c r="B17" s="124"/>
      <c r="C17" s="126"/>
      <c r="D17" s="134" t="str">
        <f t="shared" si="0"/>
        <v>0</v>
      </c>
      <c r="E17" s="56"/>
    </row>
    <row r="18" spans="1:5" ht="14" customHeight="1">
      <c r="A18" s="48" t="s">
        <v>7</v>
      </c>
      <c r="B18" s="124"/>
      <c r="C18" s="126"/>
      <c r="D18" s="134" t="str">
        <f t="shared" si="0"/>
        <v>0</v>
      </c>
      <c r="E18" s="56"/>
    </row>
    <row r="19" spans="1:5" ht="14" customHeight="1">
      <c r="A19" s="48" t="s">
        <v>8</v>
      </c>
      <c r="B19" s="124"/>
      <c r="C19" s="126"/>
      <c r="D19" s="134" t="str">
        <f t="shared" si="0"/>
        <v>0</v>
      </c>
      <c r="E19" s="56"/>
    </row>
    <row r="20" spans="1:5" ht="14" customHeight="1">
      <c r="A20" s="48" t="s">
        <v>0</v>
      </c>
      <c r="B20" s="125"/>
      <c r="C20" s="126"/>
      <c r="D20" s="134" t="str">
        <f t="shared" si="0"/>
        <v>0</v>
      </c>
      <c r="E20" s="56"/>
    </row>
    <row r="21" spans="1:5" ht="14" customHeight="1">
      <c r="A21" s="48" t="s">
        <v>67</v>
      </c>
      <c r="B21" s="125"/>
      <c r="C21" s="44"/>
      <c r="D21" s="135"/>
      <c r="E21" s="56"/>
    </row>
    <row r="22" spans="1:5" ht="14" customHeight="1">
      <c r="A22" s="48" t="s">
        <v>63</v>
      </c>
      <c r="B22" s="125"/>
      <c r="C22" s="126"/>
      <c r="D22" s="134" t="str">
        <f>IF(C22&gt;0,B22*$C$4%,"0")</f>
        <v>0</v>
      </c>
      <c r="E22" s="56"/>
    </row>
    <row r="23" spans="1:5" ht="14" customHeight="1">
      <c r="A23" s="48" t="s">
        <v>183</v>
      </c>
      <c r="B23" s="125"/>
      <c r="C23" s="126"/>
      <c r="D23" s="134" t="str">
        <f>IF(C23&gt;0,B23*$C$4%,"0")</f>
        <v>0</v>
      </c>
      <c r="E23" s="56"/>
    </row>
    <row r="24" spans="1:5" ht="14" customHeight="1">
      <c r="A24" s="48" t="s">
        <v>62</v>
      </c>
      <c r="B24" s="125"/>
      <c r="C24" s="126"/>
      <c r="D24" s="134" t="str">
        <f t="shared" si="0"/>
        <v>0</v>
      </c>
      <c r="E24" s="56"/>
    </row>
    <row r="25" spans="1:5" ht="14" customHeight="1">
      <c r="A25" s="48" t="s">
        <v>66</v>
      </c>
      <c r="B25" s="125"/>
      <c r="C25" s="126"/>
      <c r="D25" s="134" t="str">
        <f t="shared" si="0"/>
        <v>0</v>
      </c>
      <c r="E25" s="56"/>
    </row>
    <row r="26" spans="1:5" ht="14" customHeight="1">
      <c r="A26" s="48" t="s">
        <v>66</v>
      </c>
      <c r="B26" s="125"/>
      <c r="C26" s="126"/>
      <c r="D26" s="134" t="str">
        <f t="shared" si="0"/>
        <v>0</v>
      </c>
      <c r="E26" s="56"/>
    </row>
    <row r="27" spans="1:5" ht="14" customHeight="1">
      <c r="A27" s="48" t="s">
        <v>66</v>
      </c>
      <c r="B27" s="125"/>
      <c r="C27" s="126"/>
      <c r="D27" s="134" t="str">
        <f t="shared" si="0"/>
        <v>0</v>
      </c>
      <c r="E27" s="56"/>
    </row>
    <row r="28" spans="1:5" ht="21" customHeight="1">
      <c r="A28" s="47" t="s">
        <v>70</v>
      </c>
      <c r="B28" s="40"/>
      <c r="C28" s="60"/>
      <c r="D28" s="136"/>
      <c r="E28" s="56"/>
    </row>
    <row r="29" spans="1:5" ht="14" customHeight="1">
      <c r="A29" s="48" t="s">
        <v>76</v>
      </c>
      <c r="B29" s="125"/>
      <c r="C29" s="126"/>
      <c r="D29" s="134" t="str">
        <f t="shared" si="0"/>
        <v>0</v>
      </c>
      <c r="E29" s="56"/>
    </row>
    <row r="30" spans="1:5" ht="14" customHeight="1">
      <c r="A30" s="48" t="s">
        <v>77</v>
      </c>
      <c r="B30" s="125"/>
      <c r="C30" s="44"/>
      <c r="D30" s="135"/>
      <c r="E30" s="56"/>
    </row>
    <row r="31" spans="1:5" ht="14" customHeight="1">
      <c r="A31" s="48" t="s">
        <v>96</v>
      </c>
      <c r="B31" s="125"/>
      <c r="C31" s="44"/>
      <c r="D31" s="135"/>
      <c r="E31" s="56"/>
    </row>
    <row r="32" spans="1:5" ht="14" customHeight="1">
      <c r="A32" s="48" t="s">
        <v>78</v>
      </c>
      <c r="B32" s="125"/>
      <c r="C32" s="126"/>
      <c r="D32" s="134" t="str">
        <f t="shared" si="0"/>
        <v>0</v>
      </c>
      <c r="E32" s="56"/>
    </row>
    <row r="33" spans="1:12" ht="14" customHeight="1">
      <c r="A33" s="48" t="s">
        <v>71</v>
      </c>
      <c r="B33" s="125"/>
      <c r="C33" s="44"/>
      <c r="D33" s="135"/>
      <c r="E33" s="56"/>
    </row>
    <row r="34" spans="1:12" ht="14" customHeight="1">
      <c r="A34" s="48" t="s">
        <v>72</v>
      </c>
      <c r="B34" s="125"/>
      <c r="C34" s="126"/>
      <c r="D34" s="134" t="str">
        <f t="shared" si="0"/>
        <v>0</v>
      </c>
      <c r="E34" s="56"/>
    </row>
    <row r="35" spans="1:12" ht="14" customHeight="1">
      <c r="A35" s="48" t="s">
        <v>73</v>
      </c>
      <c r="B35" s="125"/>
      <c r="C35" s="126"/>
      <c r="D35" s="134" t="str">
        <f t="shared" si="0"/>
        <v>0</v>
      </c>
      <c r="E35" s="56"/>
    </row>
    <row r="36" spans="1:12" ht="15" customHeight="1" thickBot="1">
      <c r="A36" s="49" t="s">
        <v>66</v>
      </c>
      <c r="B36" s="127"/>
      <c r="C36" s="126"/>
      <c r="D36" s="137" t="str">
        <f t="shared" si="0"/>
        <v>0</v>
      </c>
      <c r="E36" s="56"/>
    </row>
    <row r="37" spans="1:12" ht="14" thickBot="1">
      <c r="A37" s="50"/>
      <c r="B37" s="51">
        <f>SUM(B13:B36)</f>
        <v>0</v>
      </c>
      <c r="C37" s="52"/>
      <c r="D37" s="53">
        <f>SUM(D13:D36)</f>
        <v>0</v>
      </c>
    </row>
    <row r="38" spans="1:12" ht="5" customHeight="1">
      <c r="C38" s="5"/>
      <c r="D38" s="5"/>
    </row>
    <row r="39" spans="1:12" ht="16">
      <c r="A39" s="46" t="s">
        <v>35</v>
      </c>
      <c r="C39" s="5"/>
      <c r="D39" s="5"/>
      <c r="J39" s="37"/>
    </row>
    <row r="40" spans="1:12" ht="16">
      <c r="A40" s="46" t="s">
        <v>79</v>
      </c>
      <c r="B40" s="6"/>
      <c r="J40" s="37"/>
    </row>
    <row r="41" spans="1:12">
      <c r="B41" s="6"/>
    </row>
    <row r="42" spans="1:12" ht="14" thickBot="1"/>
    <row r="43" spans="1:12" ht="26" thickBot="1">
      <c r="A43" s="149" t="str">
        <f>"Feriefradrag i "&amp;C5&amp;" mdr"</f>
        <v>Feriefradrag i  mdr</v>
      </c>
      <c r="B43" s="150"/>
      <c r="C43" s="150"/>
      <c r="D43" s="150"/>
      <c r="E43" s="150"/>
      <c r="F43" s="151"/>
    </row>
    <row r="44" spans="1:12" ht="19" customHeight="1">
      <c r="A44" s="146" t="s">
        <v>94</v>
      </c>
      <c r="B44" s="147"/>
      <c r="C44" s="147"/>
      <c r="D44" s="147"/>
      <c r="E44" s="148"/>
      <c r="F44" s="138">
        <f>IF(C8&gt;0,D37/C4%*C8*C9%*-1,0)</f>
        <v>0</v>
      </c>
      <c r="G44" s="128"/>
      <c r="H44" s="57"/>
      <c r="I44" s="57"/>
      <c r="J44" s="57"/>
      <c r="K44" s="57"/>
      <c r="L44" s="57"/>
    </row>
    <row r="45" spans="1:12" ht="20" customHeight="1">
      <c r="A45" s="131" t="s">
        <v>93</v>
      </c>
      <c r="B45" s="132"/>
      <c r="C45" s="132"/>
      <c r="D45" s="132"/>
      <c r="E45" s="140"/>
      <c r="F45" s="138">
        <f>IF(C8&gt;0,B37*C8*C9%*-1-F44,0)</f>
        <v>0</v>
      </c>
      <c r="G45" s="128"/>
      <c r="H45" s="57"/>
      <c r="I45" s="57"/>
      <c r="J45" s="57"/>
      <c r="K45" s="57"/>
      <c r="L45" s="57"/>
    </row>
    <row r="46" spans="1:12" ht="22" customHeight="1" thickBot="1">
      <c r="A46" s="143" t="s">
        <v>95</v>
      </c>
      <c r="B46" s="144"/>
      <c r="C46" s="144"/>
      <c r="D46" s="144"/>
      <c r="E46" s="145"/>
      <c r="F46" s="139">
        <f>IF(C8&gt;0,D37*C8*C9%*-1,0)</f>
        <v>0</v>
      </c>
    </row>
  </sheetData>
  <sheetProtection sheet="1" objects="1" scenarios="1"/>
  <mergeCells count="23">
    <mergeCell ref="A43:F43"/>
    <mergeCell ref="A44:E44"/>
    <mergeCell ref="A46:E46"/>
    <mergeCell ref="A8:B8"/>
    <mergeCell ref="C8:G8"/>
    <mergeCell ref="A9:B9"/>
    <mergeCell ref="C9:G9"/>
    <mergeCell ref="H9:K9"/>
    <mergeCell ref="A11:D11"/>
    <mergeCell ref="I4:J4"/>
    <mergeCell ref="A5:B5"/>
    <mergeCell ref="C5:G5"/>
    <mergeCell ref="A6:B6"/>
    <mergeCell ref="C6:G6"/>
    <mergeCell ref="A7:B7"/>
    <mergeCell ref="C7:G7"/>
    <mergeCell ref="H7:J7"/>
    <mergeCell ref="A1:G1"/>
    <mergeCell ref="A2:G2"/>
    <mergeCell ref="A3:B3"/>
    <mergeCell ref="C3:G3"/>
    <mergeCell ref="A4:B4"/>
    <mergeCell ref="C4:G4"/>
  </mergeCells>
  <dataValidations count="1">
    <dataValidation type="list" allowBlank="1" showInputMessage="1" showErrorMessage="1" sqref="C34:C36 C22:C29 C17:C20 C15:C16 C13 C32" xr:uid="{0722DDAB-9793-0B42-983D-B906E073B917}">
      <formula1>$E$13:$E$14</formula1>
    </dataValidation>
  </dataValidations>
  <pageMargins left="0.74803149606299213" right="0.74803149606299213" top="0.98425196850393704" bottom="0.98425196850393704" header="0.51181102362204722" footer="0.51181102362204722"/>
  <pageSetup paperSize="9" scale="51" orientation="portrait" horizontalDpi="4294967292" verticalDpi="4294967292"/>
  <headerFooter>
    <oddFooter>&amp;L&amp;F, &amp;A&amp;CFriskolernes Kontor &amp;ROle Mikkelsen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62"/>
  <sheetViews>
    <sheetView workbookViewId="0">
      <selection activeCell="A57" sqref="A57:K58"/>
    </sheetView>
  </sheetViews>
  <sheetFormatPr baseColWidth="10" defaultRowHeight="14"/>
  <sheetData>
    <row r="1" spans="1:11" ht="23">
      <c r="A1" s="63" t="s">
        <v>132</v>
      </c>
    </row>
    <row r="2" spans="1:11" ht="16">
      <c r="A2" s="46" t="s">
        <v>107</v>
      </c>
    </row>
    <row r="4" spans="1:11" ht="16">
      <c r="A4" s="38" t="s">
        <v>100</v>
      </c>
      <c r="B4" s="3"/>
    </row>
    <row r="5" spans="1:11" ht="16">
      <c r="A5" s="38" t="s">
        <v>101</v>
      </c>
      <c r="B5" s="3"/>
    </row>
    <row r="6" spans="1:11" ht="16">
      <c r="A6" s="38" t="s">
        <v>102</v>
      </c>
      <c r="B6" s="3"/>
    </row>
    <row r="7" spans="1:11" ht="16">
      <c r="A7" s="38" t="s">
        <v>104</v>
      </c>
      <c r="B7" s="3"/>
    </row>
    <row r="8" spans="1:11" ht="16">
      <c r="A8" s="38" t="s">
        <v>140</v>
      </c>
      <c r="B8" s="3"/>
    </row>
    <row r="10" spans="1:11">
      <c r="A10" s="142" t="s">
        <v>133</v>
      </c>
      <c r="B10" s="142"/>
      <c r="C10" s="142"/>
      <c r="D10" s="142"/>
      <c r="E10" s="142"/>
      <c r="F10" s="142"/>
      <c r="G10" s="142"/>
      <c r="H10" s="142"/>
    </row>
    <row r="11" spans="1:11">
      <c r="A11" s="142"/>
      <c r="B11" s="142"/>
      <c r="C11" s="142"/>
      <c r="D11" s="142"/>
      <c r="E11" s="142"/>
      <c r="F11" s="142"/>
      <c r="G11" s="142"/>
      <c r="H11" s="142"/>
    </row>
    <row r="12" spans="1:11">
      <c r="A12" s="142"/>
      <c r="B12" s="142"/>
      <c r="C12" s="142"/>
      <c r="D12" s="142"/>
      <c r="E12" s="142"/>
      <c r="F12" s="142"/>
      <c r="G12" s="142"/>
      <c r="H12" s="142"/>
    </row>
    <row r="14" spans="1:11" ht="24" thickBot="1">
      <c r="A14" s="186" t="s">
        <v>141</v>
      </c>
      <c r="B14" s="186"/>
      <c r="C14" s="186"/>
    </row>
    <row r="15" spans="1:11" ht="23">
      <c r="A15" s="103" t="s">
        <v>154</v>
      </c>
      <c r="B15" s="104"/>
      <c r="C15" s="104"/>
      <c r="D15" s="104"/>
      <c r="E15" s="104"/>
      <c r="F15" s="104"/>
      <c r="G15" s="104"/>
      <c r="H15" s="104"/>
      <c r="I15" s="104"/>
      <c r="J15" s="104"/>
      <c r="K15" s="105"/>
    </row>
    <row r="16" spans="1:11" ht="16">
      <c r="A16" s="106" t="s">
        <v>142</v>
      </c>
      <c r="B16" s="38"/>
      <c r="C16" s="38"/>
      <c r="D16" s="38"/>
      <c r="E16" s="38"/>
      <c r="F16" s="38"/>
      <c r="G16" s="38"/>
      <c r="H16" s="38"/>
      <c r="I16" s="38"/>
      <c r="J16" s="38"/>
      <c r="K16" s="107"/>
    </row>
    <row r="17" spans="1:11" ht="16">
      <c r="A17" s="106" t="s">
        <v>143</v>
      </c>
      <c r="B17" s="38"/>
      <c r="C17" s="38"/>
      <c r="D17" s="38"/>
      <c r="E17" s="38"/>
      <c r="F17" s="38"/>
      <c r="G17" s="38"/>
      <c r="H17" s="38"/>
      <c r="I17" s="38"/>
      <c r="J17" s="38"/>
      <c r="K17" s="107"/>
    </row>
    <row r="18" spans="1:11" ht="16">
      <c r="A18" s="106" t="s">
        <v>144</v>
      </c>
      <c r="B18" s="38"/>
      <c r="C18" s="38"/>
      <c r="D18" s="38"/>
      <c r="E18" s="38"/>
      <c r="F18" s="38"/>
      <c r="G18" s="38"/>
      <c r="H18" s="38"/>
      <c r="I18" s="38"/>
      <c r="J18" s="38"/>
      <c r="K18" s="107"/>
    </row>
    <row r="19" spans="1:11" ht="16">
      <c r="A19" s="106" t="s">
        <v>145</v>
      </c>
      <c r="B19" s="38"/>
      <c r="C19" s="38"/>
      <c r="D19" s="38"/>
      <c r="E19" s="38"/>
      <c r="F19" s="38"/>
      <c r="G19" s="38"/>
      <c r="H19" s="38"/>
      <c r="I19" s="38"/>
      <c r="J19" s="38"/>
      <c r="K19" s="107"/>
    </row>
    <row r="20" spans="1:11" ht="16">
      <c r="A20" s="106" t="s">
        <v>146</v>
      </c>
      <c r="B20" s="38"/>
      <c r="C20" s="38"/>
      <c r="D20" s="38"/>
      <c r="E20" s="38"/>
      <c r="F20" s="38"/>
      <c r="G20" s="38"/>
      <c r="H20" s="38"/>
      <c r="I20" s="38"/>
      <c r="J20" s="38"/>
      <c r="K20" s="107"/>
    </row>
    <row r="21" spans="1:11" ht="16">
      <c r="A21" s="106" t="s">
        <v>147</v>
      </c>
      <c r="B21" s="38"/>
      <c r="C21" s="38"/>
      <c r="D21" s="38"/>
      <c r="E21" s="38"/>
      <c r="F21" s="38"/>
      <c r="G21" s="38"/>
      <c r="H21" s="38"/>
      <c r="I21" s="38"/>
      <c r="J21" s="38"/>
      <c r="K21" s="107"/>
    </row>
    <row r="22" spans="1:11" ht="17" thickBot="1">
      <c r="A22" s="108" t="s">
        <v>148</v>
      </c>
      <c r="B22" s="109"/>
      <c r="C22" s="109"/>
      <c r="D22" s="109"/>
      <c r="E22" s="109"/>
      <c r="F22" s="109"/>
      <c r="G22" s="109"/>
      <c r="H22" s="109"/>
      <c r="I22" s="109"/>
      <c r="J22" s="109"/>
      <c r="K22" s="110"/>
    </row>
    <row r="23" spans="1:11" ht="17" thickBot="1">
      <c r="A23" s="38"/>
      <c r="B23" s="38"/>
      <c r="C23" s="38"/>
      <c r="D23" s="38"/>
      <c r="E23" s="38"/>
      <c r="F23" s="38"/>
      <c r="G23" s="38"/>
      <c r="H23" s="38"/>
      <c r="I23" s="38"/>
      <c r="J23" s="38"/>
    </row>
    <row r="24" spans="1:11" ht="23">
      <c r="A24" s="103" t="s">
        <v>155</v>
      </c>
      <c r="B24" s="104"/>
      <c r="C24" s="104"/>
      <c r="D24" s="104"/>
      <c r="E24" s="104"/>
      <c r="F24" s="104"/>
      <c r="G24" s="104"/>
      <c r="H24" s="104"/>
      <c r="I24" s="104"/>
      <c r="J24" s="104"/>
      <c r="K24" s="105"/>
    </row>
    <row r="25" spans="1:11" ht="23">
      <c r="A25" s="111" t="s">
        <v>156</v>
      </c>
      <c r="K25" s="107"/>
    </row>
    <row r="26" spans="1:11" ht="21" customHeight="1">
      <c r="A26" s="184" t="s">
        <v>157</v>
      </c>
      <c r="B26" s="142"/>
      <c r="C26" s="142"/>
      <c r="D26" s="142"/>
      <c r="E26" s="142"/>
      <c r="F26" s="142"/>
      <c r="G26" s="142"/>
      <c r="H26" s="142"/>
      <c r="I26" s="142"/>
      <c r="J26" s="142"/>
      <c r="K26" s="185"/>
    </row>
    <row r="27" spans="1:11" ht="15" customHeight="1" thickBot="1">
      <c r="A27" s="187"/>
      <c r="B27" s="188"/>
      <c r="C27" s="188"/>
      <c r="D27" s="188"/>
      <c r="E27" s="188"/>
      <c r="F27" s="188"/>
      <c r="G27" s="188"/>
      <c r="H27" s="188"/>
      <c r="I27" s="188"/>
      <c r="J27" s="188"/>
      <c r="K27" s="189"/>
    </row>
    <row r="28" spans="1:11" ht="15" customHeight="1" thickBot="1"/>
    <row r="29" spans="1:11" ht="23">
      <c r="A29" s="103" t="s">
        <v>158</v>
      </c>
      <c r="B29" s="104"/>
      <c r="C29" s="104"/>
      <c r="D29" s="104"/>
      <c r="E29" s="104"/>
      <c r="F29" s="104"/>
      <c r="G29" s="104"/>
      <c r="H29" s="104"/>
      <c r="I29" s="104"/>
      <c r="J29" s="104"/>
      <c r="K29" s="105"/>
    </row>
    <row r="30" spans="1:11" ht="23">
      <c r="A30" s="111" t="s">
        <v>170</v>
      </c>
      <c r="K30" s="107"/>
    </row>
    <row r="31" spans="1:11" ht="16" customHeight="1">
      <c r="A31" s="190" t="s">
        <v>159</v>
      </c>
      <c r="B31" s="191"/>
      <c r="C31" s="191"/>
      <c r="D31" s="191"/>
      <c r="E31" s="191"/>
      <c r="F31" s="191"/>
      <c r="G31" s="191"/>
      <c r="H31" s="191"/>
      <c r="I31" s="191"/>
      <c r="J31" s="191"/>
      <c r="K31" s="192"/>
    </row>
    <row r="32" spans="1:11" ht="16" customHeight="1">
      <c r="A32" s="190"/>
      <c r="B32" s="191"/>
      <c r="C32" s="191"/>
      <c r="D32" s="191"/>
      <c r="E32" s="191"/>
      <c r="F32" s="191"/>
      <c r="G32" s="191"/>
      <c r="H32" s="191"/>
      <c r="I32" s="191"/>
      <c r="J32" s="191"/>
      <c r="K32" s="192"/>
    </row>
    <row r="33" spans="1:11" ht="16" customHeight="1">
      <c r="A33" s="190" t="s">
        <v>160</v>
      </c>
      <c r="B33" s="191"/>
      <c r="C33" s="191"/>
      <c r="D33" s="191"/>
      <c r="E33" s="191"/>
      <c r="F33" s="191"/>
      <c r="G33" s="191"/>
      <c r="H33" s="191"/>
      <c r="I33" s="191"/>
      <c r="J33" s="191"/>
      <c r="K33" s="192"/>
    </row>
    <row r="34" spans="1:11" ht="16" customHeight="1">
      <c r="A34" s="190"/>
      <c r="B34" s="191"/>
      <c r="C34" s="191"/>
      <c r="D34" s="191"/>
      <c r="E34" s="191"/>
      <c r="F34" s="191"/>
      <c r="G34" s="191"/>
      <c r="H34" s="191"/>
      <c r="I34" s="191"/>
      <c r="J34" s="191"/>
      <c r="K34" s="192"/>
    </row>
    <row r="35" spans="1:11" ht="16">
      <c r="A35" s="112" t="s">
        <v>161</v>
      </c>
      <c r="K35" s="107"/>
    </row>
    <row r="36" spans="1:11" ht="16">
      <c r="A36" s="112" t="s">
        <v>162</v>
      </c>
      <c r="K36" s="107"/>
    </row>
    <row r="37" spans="1:11" ht="16">
      <c r="A37" s="112"/>
      <c r="K37" s="107"/>
    </row>
    <row r="38" spans="1:11" ht="16">
      <c r="A38" s="112" t="s">
        <v>163</v>
      </c>
      <c r="K38" s="107"/>
    </row>
    <row r="39" spans="1:11" ht="16">
      <c r="A39" s="112" t="s">
        <v>164</v>
      </c>
      <c r="K39" s="107"/>
    </row>
    <row r="40" spans="1:11" ht="16">
      <c r="A40" s="112" t="s">
        <v>165</v>
      </c>
      <c r="K40" s="107"/>
    </row>
    <row r="41" spans="1:11" ht="16">
      <c r="A41" s="112" t="s">
        <v>166</v>
      </c>
      <c r="K41" s="107"/>
    </row>
    <row r="42" spans="1:11" ht="16">
      <c r="A42" s="112"/>
      <c r="K42" s="107"/>
    </row>
    <row r="43" spans="1:11" ht="16">
      <c r="A43" s="112" t="s">
        <v>167</v>
      </c>
      <c r="K43" s="107"/>
    </row>
    <row r="44" spans="1:11" ht="16">
      <c r="A44" s="112" t="s">
        <v>168</v>
      </c>
      <c r="K44" s="107"/>
    </row>
    <row r="45" spans="1:11" ht="17" thickBot="1">
      <c r="A45" s="113" t="s">
        <v>169</v>
      </c>
      <c r="B45" s="114"/>
      <c r="C45" s="114"/>
      <c r="D45" s="114"/>
      <c r="E45" s="114"/>
      <c r="F45" s="114"/>
      <c r="G45" s="114"/>
      <c r="H45" s="114"/>
      <c r="I45" s="114"/>
      <c r="J45" s="114"/>
      <c r="K45" s="110"/>
    </row>
    <row r="46" spans="1:11" ht="15" thickBot="1"/>
    <row r="47" spans="1:11" ht="23">
      <c r="A47" s="103" t="s">
        <v>176</v>
      </c>
      <c r="B47" s="104"/>
      <c r="C47" s="104"/>
      <c r="D47" s="104"/>
      <c r="E47" s="104"/>
      <c r="F47" s="104"/>
      <c r="G47" s="104"/>
      <c r="H47" s="104"/>
      <c r="I47" s="104"/>
      <c r="J47" s="104"/>
      <c r="K47" s="105"/>
    </row>
    <row r="48" spans="1:11" ht="16">
      <c r="A48" s="106" t="s">
        <v>172</v>
      </c>
      <c r="B48" s="38"/>
      <c r="K48" s="107"/>
    </row>
    <row r="49" spans="1:11" ht="16" customHeight="1">
      <c r="A49" s="184" t="s">
        <v>173</v>
      </c>
      <c r="B49" s="142"/>
      <c r="C49" s="142"/>
      <c r="D49" s="142"/>
      <c r="E49" s="142"/>
      <c r="F49" s="142"/>
      <c r="G49" s="142"/>
      <c r="H49" s="142"/>
      <c r="I49" s="142"/>
      <c r="J49" s="142"/>
      <c r="K49" s="185"/>
    </row>
    <row r="50" spans="1:11" ht="16" customHeight="1">
      <c r="A50" s="184"/>
      <c r="B50" s="142"/>
      <c r="C50" s="142"/>
      <c r="D50" s="142"/>
      <c r="E50" s="142"/>
      <c r="F50" s="142"/>
      <c r="G50" s="142"/>
      <c r="H50" s="142"/>
      <c r="I50" s="142"/>
      <c r="J50" s="142"/>
      <c r="K50" s="185"/>
    </row>
    <row r="51" spans="1:11" ht="16">
      <c r="A51" s="106" t="s">
        <v>171</v>
      </c>
      <c r="B51" s="38"/>
      <c r="K51" s="107"/>
    </row>
    <row r="52" spans="1:11" ht="17" thickBot="1">
      <c r="A52" s="108" t="s">
        <v>174</v>
      </c>
      <c r="B52" s="109"/>
      <c r="C52" s="114"/>
      <c r="D52" s="114"/>
      <c r="E52" s="114"/>
      <c r="F52" s="114"/>
      <c r="G52" s="114"/>
      <c r="H52" s="114"/>
      <c r="I52" s="114"/>
      <c r="J52" s="114"/>
      <c r="K52" s="110"/>
    </row>
    <row r="53" spans="1:11" ht="17" thickBot="1">
      <c r="A53" s="38"/>
      <c r="B53" s="38"/>
    </row>
    <row r="54" spans="1:11" ht="23">
      <c r="A54" s="103" t="s">
        <v>175</v>
      </c>
      <c r="B54" s="115"/>
      <c r="C54" s="104"/>
      <c r="D54" s="104"/>
      <c r="E54" s="104"/>
      <c r="F54" s="104"/>
      <c r="G54" s="104"/>
      <c r="H54" s="104"/>
      <c r="I54" s="104"/>
      <c r="J54" s="104"/>
      <c r="K54" s="105"/>
    </row>
    <row r="55" spans="1:11" ht="16" customHeight="1">
      <c r="A55" s="184" t="s">
        <v>184</v>
      </c>
      <c r="B55" s="142"/>
      <c r="C55" s="142"/>
      <c r="D55" s="142"/>
      <c r="E55" s="142"/>
      <c r="F55" s="142"/>
      <c r="G55" s="142"/>
      <c r="H55" s="142"/>
      <c r="I55" s="142"/>
      <c r="J55" s="142"/>
      <c r="K55" s="185"/>
    </row>
    <row r="56" spans="1:11" ht="16" customHeight="1">
      <c r="A56" s="184"/>
      <c r="B56" s="142"/>
      <c r="C56" s="142"/>
      <c r="D56" s="142"/>
      <c r="E56" s="142"/>
      <c r="F56" s="142"/>
      <c r="G56" s="142"/>
      <c r="H56" s="142"/>
      <c r="I56" s="142"/>
      <c r="J56" s="142"/>
      <c r="K56" s="185"/>
    </row>
    <row r="57" spans="1:11" ht="16" customHeight="1">
      <c r="A57" s="184" t="s">
        <v>177</v>
      </c>
      <c r="B57" s="142"/>
      <c r="C57" s="142"/>
      <c r="D57" s="142"/>
      <c r="E57" s="142"/>
      <c r="F57" s="142"/>
      <c r="G57" s="142"/>
      <c r="H57" s="142"/>
      <c r="I57" s="142"/>
      <c r="J57" s="142"/>
      <c r="K57" s="185"/>
    </row>
    <row r="58" spans="1:11" ht="16" customHeight="1">
      <c r="A58" s="184"/>
      <c r="B58" s="142"/>
      <c r="C58" s="142"/>
      <c r="D58" s="142"/>
      <c r="E58" s="142"/>
      <c r="F58" s="142"/>
      <c r="G58" s="142"/>
      <c r="H58" s="142"/>
      <c r="I58" s="142"/>
      <c r="J58" s="142"/>
      <c r="K58" s="185"/>
    </row>
    <row r="59" spans="1:11" ht="16">
      <c r="A59" s="106" t="s">
        <v>178</v>
      </c>
      <c r="B59" s="38"/>
      <c r="K59" s="107"/>
    </row>
    <row r="60" spans="1:11" ht="16">
      <c r="A60" s="106" t="s">
        <v>180</v>
      </c>
      <c r="B60" s="38"/>
      <c r="K60" s="107"/>
    </row>
    <row r="61" spans="1:11" ht="16">
      <c r="A61" s="106" t="s">
        <v>179</v>
      </c>
      <c r="B61" s="38"/>
      <c r="K61" s="107"/>
    </row>
    <row r="62" spans="1:11" ht="17" thickBot="1">
      <c r="A62" s="108" t="s">
        <v>181</v>
      </c>
      <c r="B62" s="109"/>
      <c r="C62" s="114"/>
      <c r="D62" s="114"/>
      <c r="E62" s="114"/>
      <c r="F62" s="114"/>
      <c r="G62" s="114"/>
      <c r="H62" s="114"/>
      <c r="I62" s="114"/>
      <c r="J62" s="114"/>
      <c r="K62" s="110"/>
    </row>
  </sheetData>
  <sheetProtection sheet="1" objects="1" scenarios="1"/>
  <mergeCells count="8">
    <mergeCell ref="A55:K56"/>
    <mergeCell ref="A57:K58"/>
    <mergeCell ref="A14:C14"/>
    <mergeCell ref="A10:H12"/>
    <mergeCell ref="A26:K27"/>
    <mergeCell ref="A31:K32"/>
    <mergeCell ref="A33:K34"/>
    <mergeCell ref="A49:K50"/>
  </mergeCells>
  <phoneticPr fontId="18" type="noConversion"/>
  <pageMargins left="0.7" right="0.7" top="0.75" bottom="0.75" header="0.3" footer="0.3"/>
  <pageSetup scale="6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99"/>
  <sheetViews>
    <sheetView workbookViewId="0">
      <selection activeCell="H32" sqref="H32:H36"/>
    </sheetView>
  </sheetViews>
  <sheetFormatPr baseColWidth="10" defaultRowHeight="14"/>
  <cols>
    <col min="5" max="5" width="12.7109375" customWidth="1"/>
    <col min="7" max="7" width="18.85546875" customWidth="1"/>
    <col min="8" max="8" width="12.5703125" bestFit="1" customWidth="1"/>
    <col min="9" max="9" width="14" bestFit="1" customWidth="1"/>
    <col min="10" max="10" width="3.140625" customWidth="1"/>
  </cols>
  <sheetData>
    <row r="1" spans="1:18" ht="37" customHeight="1">
      <c r="A1" s="307" t="s">
        <v>149</v>
      </c>
      <c r="B1" s="319" t="str">
        <f>"Feriepengeafregning for ikke afholdt ferie i ferieåret 01.05."&amp;(F6+1)&amp;" - 30.04."&amp;(F6+2)&amp;""</f>
        <v>Feriepengeafregning for ikke afholdt ferie i ferieåret 01.05.1 - 30.04.2</v>
      </c>
      <c r="C1" s="320"/>
      <c r="D1" s="320"/>
      <c r="E1" s="320"/>
      <c r="F1" s="320"/>
      <c r="G1" s="320"/>
      <c r="H1" s="320"/>
      <c r="I1" s="321"/>
      <c r="J1" s="74"/>
      <c r="K1" s="74"/>
      <c r="L1" s="74"/>
      <c r="M1" s="75"/>
      <c r="N1" s="75"/>
      <c r="O1" s="75"/>
      <c r="P1" s="75"/>
      <c r="Q1" s="75"/>
      <c r="R1" s="75"/>
    </row>
    <row r="2" spans="1:18" ht="27" customHeight="1" thickBot="1">
      <c r="A2" s="308"/>
      <c r="B2" s="231" t="s">
        <v>131</v>
      </c>
      <c r="C2" s="232"/>
      <c r="D2" s="232"/>
      <c r="E2" s="232"/>
      <c r="F2" s="232"/>
      <c r="G2" s="232"/>
      <c r="H2" s="232"/>
      <c r="I2" s="233"/>
      <c r="J2" s="74"/>
      <c r="K2" s="74"/>
      <c r="L2" s="74"/>
      <c r="M2" s="75"/>
      <c r="N2" s="75"/>
      <c r="O2" s="75"/>
      <c r="P2" s="75"/>
      <c r="Q2" s="75"/>
      <c r="R2" s="75"/>
    </row>
    <row r="3" spans="1:18" ht="16" customHeight="1">
      <c r="A3" s="308"/>
      <c r="B3" s="267" t="s">
        <v>64</v>
      </c>
      <c r="C3" s="268"/>
      <c r="D3" s="268"/>
      <c r="E3" s="268"/>
      <c r="F3" s="275"/>
      <c r="G3" s="275"/>
      <c r="H3" s="275"/>
      <c r="I3" s="292"/>
      <c r="J3" s="74"/>
      <c r="K3" s="74"/>
      <c r="L3" s="74"/>
      <c r="M3" s="75"/>
      <c r="N3" s="75"/>
      <c r="O3" s="75"/>
      <c r="P3" s="75"/>
      <c r="Q3" s="75"/>
      <c r="R3" s="75"/>
    </row>
    <row r="4" spans="1:18" ht="16">
      <c r="A4" s="308"/>
      <c r="B4" s="257" t="s">
        <v>128</v>
      </c>
      <c r="C4" s="227"/>
      <c r="D4" s="227"/>
      <c r="E4" s="227"/>
      <c r="F4" s="258"/>
      <c r="G4" s="259"/>
      <c r="H4" s="260"/>
      <c r="I4" s="293"/>
      <c r="J4" s="74"/>
      <c r="K4" s="94" t="s">
        <v>65</v>
      </c>
      <c r="L4" s="94" t="s">
        <v>135</v>
      </c>
      <c r="M4" s="75"/>
      <c r="N4" s="75"/>
      <c r="O4" s="75"/>
      <c r="P4" s="75"/>
      <c r="Q4" s="75"/>
      <c r="R4" s="75"/>
    </row>
    <row r="5" spans="1:18" ht="16">
      <c r="A5" s="308"/>
      <c r="B5" s="257"/>
      <c r="C5" s="227"/>
      <c r="D5" s="227"/>
      <c r="E5" s="227"/>
      <c r="F5" s="261"/>
      <c r="G5" s="262"/>
      <c r="H5" s="263"/>
      <c r="I5" s="293"/>
      <c r="J5" s="74"/>
      <c r="K5" s="94"/>
      <c r="L5" s="94" t="s">
        <v>136</v>
      </c>
      <c r="M5" s="75"/>
      <c r="N5" s="75"/>
      <c r="O5" s="75"/>
      <c r="P5" s="75"/>
      <c r="Q5" s="75"/>
      <c r="R5" s="75"/>
    </row>
    <row r="6" spans="1:18" ht="17" thickBot="1">
      <c r="A6" s="308"/>
      <c r="B6" s="243" t="s">
        <v>134</v>
      </c>
      <c r="C6" s="244"/>
      <c r="D6" s="244"/>
      <c r="E6" s="245"/>
      <c r="F6" s="328"/>
      <c r="G6" s="328"/>
      <c r="H6" s="329"/>
      <c r="I6" s="294"/>
      <c r="J6" s="74"/>
      <c r="K6" s="74"/>
      <c r="L6" s="74"/>
      <c r="M6" s="75"/>
      <c r="N6" s="75"/>
      <c r="O6" s="75"/>
      <c r="P6" s="75"/>
      <c r="Q6" s="75"/>
      <c r="R6" s="75"/>
    </row>
    <row r="7" spans="1:18" ht="19" thickBot="1">
      <c r="A7" s="309"/>
      <c r="B7" s="302" t="str">
        <f>"Antal feriedage optjent i  "&amp;F6&amp;""</f>
        <v xml:space="preserve">Antal feriedage optjent i  </v>
      </c>
      <c r="C7" s="303"/>
      <c r="D7" s="303"/>
      <c r="E7" s="303"/>
      <c r="F7" s="303"/>
      <c r="G7" s="303"/>
      <c r="H7" s="303"/>
      <c r="I7" s="79"/>
      <c r="J7" s="74"/>
      <c r="K7" s="74"/>
      <c r="L7" s="74"/>
      <c r="M7" s="75"/>
      <c r="N7" s="75"/>
      <c r="O7" s="75"/>
      <c r="P7" s="75"/>
      <c r="Q7" s="75"/>
      <c r="R7" s="75"/>
    </row>
    <row r="8" spans="1:18" ht="34" customHeight="1">
      <c r="A8" s="307" t="s">
        <v>150</v>
      </c>
      <c r="B8" s="295" t="s">
        <v>31</v>
      </c>
      <c r="C8" s="296"/>
      <c r="D8" s="296" t="s">
        <v>32</v>
      </c>
      <c r="E8" s="296"/>
      <c r="F8" s="78" t="s">
        <v>1</v>
      </c>
      <c r="G8" s="78" t="s">
        <v>2</v>
      </c>
      <c r="H8" s="300" t="str">
        <f>"Antal feriedage optjent i optjeningsåret "&amp;F6&amp;" i alt:"</f>
        <v>Antal feriedage optjent i optjeningsåret  i alt:</v>
      </c>
      <c r="I8" s="290" t="str">
        <f>"Antal særlige feriedage optjent i optjeningsåret "&amp;F6&amp;" i alt:"</f>
        <v>Antal særlige feriedage optjent i optjeningsåret  i alt:</v>
      </c>
      <c r="J8" s="74"/>
      <c r="K8" s="74"/>
      <c r="L8" s="74"/>
      <c r="M8" s="75"/>
      <c r="N8" s="75"/>
      <c r="O8" s="75"/>
      <c r="P8" s="75"/>
      <c r="Q8" s="75"/>
      <c r="R8" s="75"/>
    </row>
    <row r="9" spans="1:18" ht="51" customHeight="1">
      <c r="A9" s="310"/>
      <c r="B9" s="297" t="s">
        <v>80</v>
      </c>
      <c r="C9" s="298"/>
      <c r="D9" s="299" t="s">
        <v>80</v>
      </c>
      <c r="E9" s="298"/>
      <c r="F9" s="99" t="s">
        <v>81</v>
      </c>
      <c r="G9" s="99" t="s">
        <v>85</v>
      </c>
      <c r="H9" s="301"/>
      <c r="I9" s="291"/>
      <c r="J9" s="74"/>
      <c r="K9" s="74"/>
      <c r="L9" s="74"/>
      <c r="M9" s="75"/>
      <c r="N9" s="75"/>
      <c r="O9" s="75"/>
      <c r="P9" s="75"/>
      <c r="Q9" s="75"/>
      <c r="R9" s="75"/>
    </row>
    <row r="10" spans="1:18" ht="16">
      <c r="A10" s="310"/>
      <c r="B10" s="200"/>
      <c r="C10" s="201"/>
      <c r="D10" s="204"/>
      <c r="E10" s="205"/>
      <c r="F10" s="116"/>
      <c r="G10" s="116"/>
      <c r="H10" s="80">
        <f>$F$10*2.08*($G$10&gt;0)</f>
        <v>0</v>
      </c>
      <c r="I10" s="80" t="str">
        <f>IF($F$4="x",$F10*0.42*($G10&gt;0),"0")</f>
        <v>0</v>
      </c>
      <c r="J10" s="74"/>
      <c r="K10" s="74"/>
      <c r="L10" s="74"/>
      <c r="M10" s="75"/>
      <c r="N10" s="75"/>
      <c r="O10" s="75"/>
      <c r="P10" s="75"/>
      <c r="Q10" s="75"/>
      <c r="R10" s="75"/>
    </row>
    <row r="11" spans="1:18" ht="16">
      <c r="A11" s="310"/>
      <c r="B11" s="200"/>
      <c r="C11" s="201"/>
      <c r="D11" s="204"/>
      <c r="E11" s="205"/>
      <c r="F11" s="117"/>
      <c r="G11" s="116"/>
      <c r="H11" s="80">
        <f t="shared" ref="H11:H15" si="0">F11*2.08*(G11&gt;0)</f>
        <v>0</v>
      </c>
      <c r="I11" s="80" t="str">
        <f t="shared" ref="I11:I15" si="1">IF($F$4="x",$F11*0.42*($G11&gt;0),"0")</f>
        <v>0</v>
      </c>
      <c r="J11" s="74"/>
      <c r="K11" s="74"/>
      <c r="L11" s="74"/>
      <c r="M11" s="75"/>
      <c r="N11" s="75"/>
      <c r="O11" s="75"/>
      <c r="P11" s="75"/>
      <c r="Q11" s="75"/>
      <c r="R11" s="75"/>
    </row>
    <row r="12" spans="1:18" ht="16">
      <c r="A12" s="310"/>
      <c r="B12" s="200"/>
      <c r="C12" s="201"/>
      <c r="D12" s="204"/>
      <c r="E12" s="205"/>
      <c r="F12" s="117"/>
      <c r="G12" s="116"/>
      <c r="H12" s="80">
        <f t="shared" si="0"/>
        <v>0</v>
      </c>
      <c r="I12" s="80" t="str">
        <f t="shared" si="1"/>
        <v>0</v>
      </c>
      <c r="J12" s="74"/>
      <c r="K12" s="74"/>
      <c r="L12" s="74"/>
      <c r="M12" s="75"/>
      <c r="N12" s="75"/>
      <c r="O12" s="75"/>
      <c r="P12" s="75"/>
      <c r="Q12" s="75"/>
      <c r="R12" s="75"/>
    </row>
    <row r="13" spans="1:18" ht="16">
      <c r="A13" s="310"/>
      <c r="B13" s="200"/>
      <c r="C13" s="201"/>
      <c r="D13" s="206"/>
      <c r="E13" s="205"/>
      <c r="F13" s="116"/>
      <c r="G13" s="116"/>
      <c r="H13" s="80">
        <f t="shared" si="0"/>
        <v>0</v>
      </c>
      <c r="I13" s="80" t="str">
        <f t="shared" si="1"/>
        <v>0</v>
      </c>
      <c r="J13" s="74"/>
      <c r="K13" s="74"/>
      <c r="L13" s="74"/>
      <c r="M13" s="75"/>
      <c r="N13" s="75"/>
      <c r="O13" s="75"/>
      <c r="P13" s="75"/>
      <c r="Q13" s="75"/>
      <c r="R13" s="75"/>
    </row>
    <row r="14" spans="1:18" ht="16">
      <c r="A14" s="310"/>
      <c r="B14" s="200"/>
      <c r="C14" s="201"/>
      <c r="D14" s="206"/>
      <c r="E14" s="205"/>
      <c r="F14" s="116"/>
      <c r="G14" s="116"/>
      <c r="H14" s="80">
        <f t="shared" si="0"/>
        <v>0</v>
      </c>
      <c r="I14" s="80" t="str">
        <f t="shared" si="1"/>
        <v>0</v>
      </c>
      <c r="J14" s="74"/>
      <c r="K14" s="74"/>
      <c r="L14" s="74"/>
      <c r="M14" s="75"/>
      <c r="N14" s="75"/>
      <c r="O14" s="75"/>
      <c r="P14" s="75"/>
      <c r="Q14" s="75"/>
      <c r="R14" s="75"/>
    </row>
    <row r="15" spans="1:18" ht="17" thickBot="1">
      <c r="A15" s="310"/>
      <c r="B15" s="202"/>
      <c r="C15" s="203"/>
      <c r="D15" s="207"/>
      <c r="E15" s="208"/>
      <c r="F15" s="118"/>
      <c r="G15" s="118"/>
      <c r="H15" s="81">
        <f t="shared" si="0"/>
        <v>0</v>
      </c>
      <c r="I15" s="80" t="str">
        <f t="shared" si="1"/>
        <v>0</v>
      </c>
      <c r="J15" s="74"/>
      <c r="K15" s="74"/>
      <c r="L15" s="74"/>
      <c r="M15" s="75"/>
      <c r="N15" s="75"/>
      <c r="O15" s="75"/>
      <c r="P15" s="75"/>
      <c r="Q15" s="75"/>
      <c r="R15" s="75"/>
    </row>
    <row r="16" spans="1:18" ht="17" thickBot="1">
      <c r="A16" s="310"/>
      <c r="B16" s="287" t="s">
        <v>139</v>
      </c>
      <c r="C16" s="288"/>
      <c r="D16" s="288"/>
      <c r="E16" s="288"/>
      <c r="F16" s="288"/>
      <c r="G16" s="289"/>
      <c r="H16" s="95">
        <f>SUM(H10:H15)</f>
        <v>0</v>
      </c>
      <c r="I16" s="96">
        <f>SUM(I10:I15)</f>
        <v>0</v>
      </c>
      <c r="J16" s="74"/>
      <c r="K16" s="74"/>
      <c r="L16" s="74"/>
      <c r="M16" s="75"/>
      <c r="N16" s="75"/>
      <c r="O16" s="75"/>
      <c r="P16" s="75"/>
      <c r="Q16" s="75"/>
      <c r="R16" s="75"/>
    </row>
    <row r="17" spans="1:18" ht="17" thickBot="1">
      <c r="A17" s="311"/>
      <c r="B17" s="304" t="s">
        <v>138</v>
      </c>
      <c r="C17" s="305"/>
      <c r="D17" s="305"/>
      <c r="E17" s="305"/>
      <c r="F17" s="305"/>
      <c r="G17" s="306"/>
      <c r="H17" s="97">
        <f>IF(H16=24.96,25,(SUM(H10:H15)))</f>
        <v>0</v>
      </c>
      <c r="I17" s="98">
        <f>IF(I16=5.04,5,(SUM(I10:I15)))</f>
        <v>0</v>
      </c>
      <c r="J17" s="74"/>
      <c r="K17" s="74"/>
      <c r="L17" s="74"/>
      <c r="M17" s="75"/>
      <c r="N17" s="75"/>
      <c r="O17" s="75"/>
      <c r="P17" s="75"/>
      <c r="Q17" s="75"/>
      <c r="R17" s="75"/>
    </row>
    <row r="18" spans="1:18" ht="46" customHeight="1">
      <c r="A18" s="307" t="s">
        <v>151</v>
      </c>
      <c r="B18" s="248" t="str">
        <f>"Har den ansatte været ansat hele optjeningsåret "&amp;F6&amp;" (Vælg: Ja eller Nej)"</f>
        <v>Har den ansatte været ansat hele optjeningsåret  (Vælg: Ja eller Nej)</v>
      </c>
      <c r="C18" s="249"/>
      <c r="D18" s="249"/>
      <c r="E18" s="250"/>
      <c r="F18" s="279" t="str">
        <f>IF(H17=25,"Ja","Nej")</f>
        <v>Nej</v>
      </c>
      <c r="G18" s="280"/>
      <c r="H18" s="281"/>
      <c r="I18" s="285" t="str">
        <f>IF(AND(F18="Nej",F19="Ja"),"For at beregne skyldige feriepenge og særlige feriedage udfyldes der nu udfor de røde pile"," ")</f>
        <v xml:space="preserve"> </v>
      </c>
      <c r="J18" s="76" t="str">
        <f>IF($I$18&gt;"0","⬅"," ")</f>
        <v xml:space="preserve"> </v>
      </c>
      <c r="K18" s="74"/>
      <c r="L18" s="74"/>
      <c r="M18" s="75"/>
      <c r="N18" s="75"/>
      <c r="O18" s="75"/>
      <c r="P18" s="75"/>
      <c r="Q18" s="75"/>
      <c r="R18" s="75"/>
    </row>
    <row r="19" spans="1:18" ht="50" customHeight="1" thickBot="1">
      <c r="A19" s="310"/>
      <c r="B19" s="276" t="str">
        <f>"Har den ansatte i ferieåret 1. maj "&amp;F6+1&amp;" - 30. april "&amp;F6+2&amp;" afholdt en eller flere feriedage optjent i "&amp;F6&amp;" (Vælg: Ja eller Nej)"</f>
        <v>Har den ansatte i ferieåret 1. maj 1 - 30. april 2 afholdt en eller flere feriedage optjent i  (Vælg: Ja eller Nej)</v>
      </c>
      <c r="C19" s="277"/>
      <c r="D19" s="277"/>
      <c r="E19" s="278"/>
      <c r="F19" s="282"/>
      <c r="G19" s="283"/>
      <c r="H19" s="284"/>
      <c r="I19" s="286"/>
      <c r="J19" s="77" t="str">
        <f>IF(I18&gt;"0","⬅"," ")</f>
        <v xml:space="preserve"> </v>
      </c>
      <c r="K19" s="74"/>
      <c r="L19" s="74"/>
      <c r="M19" s="75"/>
      <c r="N19" s="75"/>
      <c r="O19" s="75"/>
      <c r="P19" s="75"/>
      <c r="Q19" s="75"/>
      <c r="R19" s="75"/>
    </row>
    <row r="20" spans="1:18" ht="16" customHeight="1">
      <c r="A20" s="310"/>
      <c r="B20" s="269" t="str">
        <f>"Antal feriedage der er optjent i optjeningsåret "&amp;(F6)&amp;""</f>
        <v xml:space="preserve">Antal feriedage der er optjent i optjeningsåret </v>
      </c>
      <c r="C20" s="270"/>
      <c r="D20" s="270"/>
      <c r="E20" s="271"/>
      <c r="F20" s="241">
        <f>H17</f>
        <v>0</v>
      </c>
      <c r="G20" s="241"/>
      <c r="H20" s="241"/>
      <c r="I20" s="222" t="s">
        <v>129</v>
      </c>
      <c r="J20" s="82"/>
      <c r="K20" s="74"/>
      <c r="L20" s="74"/>
      <c r="M20" s="75"/>
      <c r="N20" s="75"/>
      <c r="O20" s="75"/>
      <c r="P20" s="75"/>
      <c r="Q20" s="75"/>
      <c r="R20" s="75"/>
    </row>
    <row r="21" spans="1:18" ht="24" customHeight="1">
      <c r="A21" s="310"/>
      <c r="B21" s="272"/>
      <c r="C21" s="273"/>
      <c r="D21" s="273"/>
      <c r="E21" s="274"/>
      <c r="F21" s="242"/>
      <c r="G21" s="242"/>
      <c r="H21" s="242"/>
      <c r="I21" s="223"/>
      <c r="J21" s="83"/>
      <c r="K21" s="74"/>
      <c r="L21" s="74"/>
      <c r="M21" s="75"/>
      <c r="N21" s="75"/>
      <c r="O21" s="75"/>
      <c r="P21" s="75"/>
      <c r="Q21" s="75"/>
      <c r="R21" s="75"/>
    </row>
    <row r="22" spans="1:18" ht="16">
      <c r="A22" s="310"/>
      <c r="B22" s="216" t="str">
        <f>"Heraf antal feriedage afholdt med fuld løn i det kommende ferieår 01.05."&amp;(F6+1)&amp;" - 30.04."&amp;F6+2&amp;""</f>
        <v>Heraf antal feriedage afholdt med fuld løn i det kommende ferieår 01.05.1 - 30.04.2</v>
      </c>
      <c r="C22" s="217"/>
      <c r="D22" s="217"/>
      <c r="E22" s="218"/>
      <c r="F22" s="251"/>
      <c r="G22" s="251"/>
      <c r="H22" s="251"/>
      <c r="I22" s="330">
        <f>IF(F22=0,12.5,(F20-F22)*0.5)/100</f>
        <v>0.125</v>
      </c>
      <c r="J22" s="193" t="str">
        <f>IF(I18&gt;"0","⬅"," ")</f>
        <v xml:space="preserve"> </v>
      </c>
      <c r="K22" s="74"/>
      <c r="L22" s="74"/>
      <c r="M22" s="75"/>
      <c r="N22" s="75"/>
      <c r="O22" s="75"/>
      <c r="P22" s="75"/>
      <c r="Q22" s="75"/>
      <c r="R22" s="75"/>
    </row>
    <row r="23" spans="1:18" ht="33" customHeight="1" thickBot="1">
      <c r="A23" s="310"/>
      <c r="B23" s="219"/>
      <c r="C23" s="220"/>
      <c r="D23" s="220"/>
      <c r="E23" s="221"/>
      <c r="F23" s="252"/>
      <c r="G23" s="252"/>
      <c r="H23" s="252"/>
      <c r="I23" s="331"/>
      <c r="J23" s="194"/>
      <c r="K23" s="74"/>
      <c r="L23" s="74"/>
      <c r="M23" s="75"/>
      <c r="N23" s="75"/>
      <c r="O23" s="75"/>
      <c r="P23" s="75"/>
      <c r="Q23" s="75"/>
      <c r="R23" s="75"/>
    </row>
    <row r="24" spans="1:18" ht="16">
      <c r="A24" s="310"/>
      <c r="B24" s="322" t="str">
        <f>"Antal særlige feriedage optjent i optjeningsåret "&amp;F6&amp;"(Der optjenes 0,42 særlig feriedag pr. mdr. ansættelse) OBS Kun ansatte under ferieaftalen har ret til de særlige feriedage"</f>
        <v>Antal særlige feriedage optjent i optjeningsåret (Der optjenes 0,42 særlig feriedag pr. mdr. ansættelse) OBS Kun ansatte under ferieaftalen har ret til de særlige feriedage</v>
      </c>
      <c r="C24" s="323"/>
      <c r="D24" s="323"/>
      <c r="E24" s="324"/>
      <c r="F24" s="241">
        <f>I17</f>
        <v>0</v>
      </c>
      <c r="G24" s="241"/>
      <c r="H24" s="241"/>
      <c r="I24" s="253" t="s">
        <v>130</v>
      </c>
      <c r="J24" s="198" t="str">
        <f t="shared" ref="J24:J25" si="2">IF($I$18&gt;"0","⬅"," ")</f>
        <v xml:space="preserve"> </v>
      </c>
      <c r="K24" s="74"/>
      <c r="L24" s="74"/>
      <c r="M24" s="75"/>
      <c r="N24" s="75"/>
    </row>
    <row r="25" spans="1:18" ht="50" customHeight="1" thickBot="1">
      <c r="A25" s="310"/>
      <c r="B25" s="325"/>
      <c r="C25" s="326"/>
      <c r="D25" s="326"/>
      <c r="E25" s="327"/>
      <c r="F25" s="242"/>
      <c r="G25" s="242"/>
      <c r="H25" s="242"/>
      <c r="I25" s="254"/>
      <c r="J25" s="199" t="str">
        <f t="shared" si="2"/>
        <v xml:space="preserve"> </v>
      </c>
      <c r="K25" s="74"/>
      <c r="L25" s="74"/>
      <c r="M25" s="75"/>
      <c r="N25" s="75"/>
    </row>
    <row r="26" spans="1:18" ht="16">
      <c r="A26" s="310"/>
      <c r="B26" s="332" t="str">
        <f>"Antal særlige feriedage afholdt i det kommende ferieår 01.05."&amp;(F6+1)&amp;" - 30.04."&amp;(F6+2)&amp;""</f>
        <v>Antal særlige feriedage afholdt i det kommende ferieår 01.05.1 - 30.04.2</v>
      </c>
      <c r="C26" s="313"/>
      <c r="D26" s="313"/>
      <c r="E26" s="313"/>
      <c r="F26" s="251"/>
      <c r="G26" s="251"/>
      <c r="H26" s="251"/>
      <c r="I26" s="255">
        <f>IF(F26=0,2.5,(F24-F26)*0.5)/100</f>
        <v>2.5000000000000001E-2</v>
      </c>
      <c r="J26" s="76" t="str">
        <f>IF($I$18&gt;"0","⬅"," ")</f>
        <v xml:space="preserve"> </v>
      </c>
      <c r="K26" s="74"/>
      <c r="L26" s="74"/>
      <c r="M26" s="75"/>
      <c r="N26" s="75"/>
    </row>
    <row r="27" spans="1:18" ht="17" thickBot="1">
      <c r="A27" s="310"/>
      <c r="B27" s="333"/>
      <c r="C27" s="334"/>
      <c r="D27" s="334"/>
      <c r="E27" s="334"/>
      <c r="F27" s="252"/>
      <c r="G27" s="252"/>
      <c r="H27" s="252"/>
      <c r="I27" s="256"/>
      <c r="J27" s="84"/>
      <c r="K27" s="74"/>
      <c r="L27" s="74"/>
      <c r="M27" s="75"/>
      <c r="N27" s="75"/>
    </row>
    <row r="28" spans="1:18" ht="17" thickBot="1">
      <c r="A28" s="310"/>
      <c r="B28" s="212" t="str">
        <f>"Ferieberettiget løn i optjeningsåret: "&amp;F6&amp;""</f>
        <v xml:space="preserve">Ferieberettiget løn i optjeningsåret: </v>
      </c>
      <c r="C28" s="213"/>
      <c r="D28" s="213"/>
      <c r="E28" s="213"/>
      <c r="F28" s="213"/>
      <c r="G28" s="213"/>
      <c r="H28" s="213"/>
      <c r="I28" s="119"/>
      <c r="J28" s="87" t="str">
        <f t="shared" ref="J28:J29" si="3">IF($I$18&gt;"0","⬅"," ")</f>
        <v xml:space="preserve"> </v>
      </c>
      <c r="K28" s="74"/>
      <c r="L28" s="74"/>
      <c r="M28" s="75"/>
      <c r="N28" s="75"/>
    </row>
    <row r="29" spans="1:18" ht="17" thickBot="1">
      <c r="A29" s="310"/>
      <c r="B29" s="212" t="str">
        <f>"Egetbidrag Pension vedr. optjeningsåret "&amp;F6&amp;""</f>
        <v xml:space="preserve">Egetbidrag Pension vedr. optjeningsåret </v>
      </c>
      <c r="C29" s="213"/>
      <c r="D29" s="213"/>
      <c r="E29" s="213"/>
      <c r="F29" s="213"/>
      <c r="G29" s="213"/>
      <c r="H29" s="213"/>
      <c r="I29" s="120"/>
      <c r="J29" s="87" t="str">
        <f t="shared" si="3"/>
        <v xml:space="preserve"> </v>
      </c>
      <c r="K29" s="74"/>
      <c r="L29" s="74"/>
      <c r="M29" s="75"/>
      <c r="N29" s="75"/>
    </row>
    <row r="30" spans="1:18" s="102" customFormat="1" ht="27" thickBot="1">
      <c r="A30" s="307" t="s">
        <v>152</v>
      </c>
      <c r="B30" s="316" t="str">
        <f>"Oplysninger om løn under ferie i optjeningsåret  "&amp;F6&amp;""</f>
        <v xml:space="preserve">Oplysninger om løn under ferie i optjeningsåret  </v>
      </c>
      <c r="C30" s="317"/>
      <c r="D30" s="317"/>
      <c r="E30" s="317"/>
      <c r="F30" s="317"/>
      <c r="G30" s="317"/>
      <c r="H30" s="317"/>
      <c r="I30" s="318"/>
      <c r="J30" s="100"/>
      <c r="K30" s="100"/>
      <c r="L30" s="100"/>
      <c r="M30" s="101"/>
      <c r="N30" s="101"/>
    </row>
    <row r="31" spans="1:18" ht="16">
      <c r="A31" s="310"/>
      <c r="B31" s="209" t="str">
        <f>"Løn under ferie "&amp;F6&amp;" - ferieperiode 1"</f>
        <v>Løn under ferie  - ferieperiode 1</v>
      </c>
      <c r="C31" s="210"/>
      <c r="D31" s="210"/>
      <c r="E31" s="210"/>
      <c r="F31" s="210"/>
      <c r="G31" s="210"/>
      <c r="H31" s="210"/>
      <c r="I31" s="211"/>
      <c r="J31" s="195" t="str">
        <f>IF($I$18&gt;"0","⬅"," ")</f>
        <v xml:space="preserve"> </v>
      </c>
      <c r="K31" s="74"/>
      <c r="L31" s="74"/>
      <c r="M31" s="75"/>
      <c r="N31" s="75"/>
    </row>
    <row r="32" spans="1:18" ht="16">
      <c r="A32" s="310"/>
      <c r="B32" s="314" t="s">
        <v>127</v>
      </c>
      <c r="C32" s="315"/>
      <c r="D32" s="315"/>
      <c r="E32" s="226"/>
      <c r="F32" s="313" t="str">
        <f>"Antal feriedage afholdt med fuld løn i "&amp;E32&amp;" mdr."</f>
        <v>Antal feriedage afholdt med fuld løn i  mdr.</v>
      </c>
      <c r="G32" s="313"/>
      <c r="H32" s="226"/>
      <c r="I32" s="312"/>
      <c r="J32" s="196"/>
      <c r="K32" s="74"/>
      <c r="L32" s="74"/>
      <c r="M32" s="75"/>
      <c r="N32" s="75"/>
    </row>
    <row r="33" spans="1:14" ht="16">
      <c r="A33" s="310"/>
      <c r="B33" s="314"/>
      <c r="C33" s="315"/>
      <c r="D33" s="315"/>
      <c r="E33" s="226"/>
      <c r="F33" s="313"/>
      <c r="G33" s="313"/>
      <c r="H33" s="226"/>
      <c r="I33" s="312"/>
      <c r="J33" s="196"/>
      <c r="K33" s="74"/>
      <c r="L33" s="74"/>
      <c r="M33" s="75"/>
      <c r="N33" s="75"/>
    </row>
    <row r="34" spans="1:14" ht="16">
      <c r="A34" s="310"/>
      <c r="B34" s="212" t="str">
        <f>"Fastpåregnelige pensionsgivende løndele i "&amp;E32&amp;" mdr:"</f>
        <v>Fastpåregnelige pensionsgivende løndele i  mdr:</v>
      </c>
      <c r="C34" s="213"/>
      <c r="D34" s="213"/>
      <c r="E34" s="213"/>
      <c r="F34" s="213"/>
      <c r="G34" s="213"/>
      <c r="H34" s="121"/>
      <c r="I34" s="312"/>
      <c r="J34" s="196"/>
      <c r="K34" s="74"/>
      <c r="L34" s="74"/>
      <c r="M34" s="75"/>
      <c r="N34" s="75"/>
    </row>
    <row r="35" spans="1:14" ht="16">
      <c r="A35" s="310"/>
      <c r="B35" s="212" t="str">
        <f>"Fastpåregnelige IKKE pensionsgivende løndele i "&amp;E32&amp;" mdr."</f>
        <v>Fastpåregnelige IKKE pensionsgivende løndele i  mdr.</v>
      </c>
      <c r="C35" s="213"/>
      <c r="D35" s="213"/>
      <c r="E35" s="213"/>
      <c r="F35" s="213"/>
      <c r="G35" s="213"/>
      <c r="H35" s="121"/>
      <c r="I35" s="312"/>
      <c r="J35" s="196"/>
      <c r="K35" s="38"/>
      <c r="L35" s="38"/>
    </row>
    <row r="36" spans="1:14" ht="16">
      <c r="A36" s="310"/>
      <c r="B36" s="212" t="s">
        <v>182</v>
      </c>
      <c r="C36" s="213"/>
      <c r="D36" s="213"/>
      <c r="E36" s="213"/>
      <c r="F36" s="213"/>
      <c r="G36" s="213"/>
      <c r="H36" s="129"/>
      <c r="I36" s="312"/>
      <c r="J36" s="196"/>
      <c r="K36" s="38"/>
      <c r="L36" s="38"/>
    </row>
    <row r="37" spans="1:14" ht="16" customHeight="1" thickBot="1">
      <c r="A37" s="310"/>
      <c r="B37" s="214" t="str">
        <f>"Feriefradrag vedr. løn og egetbidrag pension for "&amp;H32&amp;" dage i "&amp;E32&amp;" mdr. "&amp;F6&amp;""</f>
        <v xml:space="preserve">Feriefradrag vedr. løn og egetbidrag pension for  dage i  mdr. </v>
      </c>
      <c r="C37" s="215"/>
      <c r="D37" s="215"/>
      <c r="E37" s="215"/>
      <c r="F37" s="215"/>
      <c r="G37" s="215"/>
      <c r="H37" s="215"/>
      <c r="I37" s="88">
        <f>((H34+H35)+(H36/3))*12/52/5*H32*-1</f>
        <v>0</v>
      </c>
      <c r="J37" s="197"/>
      <c r="K37" s="38"/>
      <c r="L37" s="38"/>
    </row>
    <row r="38" spans="1:14" ht="16" customHeight="1">
      <c r="A38" s="310"/>
      <c r="B38" s="209" t="str">
        <f>"Løn under ferie "&amp;F6&amp;" - ferieperiode 2"</f>
        <v>Løn under ferie  - ferieperiode 2</v>
      </c>
      <c r="C38" s="210"/>
      <c r="D38" s="210"/>
      <c r="E38" s="210"/>
      <c r="F38" s="210"/>
      <c r="G38" s="210"/>
      <c r="H38" s="210"/>
      <c r="I38" s="211"/>
      <c r="J38" s="195" t="str">
        <f>IF($I$18&gt;"0","⬅"," ")</f>
        <v xml:space="preserve"> </v>
      </c>
      <c r="K38" s="38"/>
      <c r="L38" s="38"/>
    </row>
    <row r="39" spans="1:14" ht="16">
      <c r="A39" s="310"/>
      <c r="B39" s="224" t="s">
        <v>127</v>
      </c>
      <c r="C39" s="225"/>
      <c r="D39" s="225"/>
      <c r="E39" s="226"/>
      <c r="F39" s="227" t="str">
        <f>"Antal feriedage afholdt med fuld løn i "&amp;E39&amp;" mdr."</f>
        <v>Antal feriedage afholdt med fuld løn i  mdr.</v>
      </c>
      <c r="G39" s="227"/>
      <c r="H39" s="226"/>
      <c r="I39" s="230"/>
      <c r="J39" s="196"/>
      <c r="K39" s="38"/>
      <c r="L39" s="38"/>
    </row>
    <row r="40" spans="1:14" ht="16">
      <c r="A40" s="310"/>
      <c r="B40" s="224"/>
      <c r="C40" s="225"/>
      <c r="D40" s="225"/>
      <c r="E40" s="226"/>
      <c r="F40" s="227"/>
      <c r="G40" s="227"/>
      <c r="H40" s="226"/>
      <c r="I40" s="230"/>
      <c r="J40" s="196"/>
      <c r="K40" s="38"/>
      <c r="L40" s="38"/>
    </row>
    <row r="41" spans="1:14" ht="16">
      <c r="A41" s="310"/>
      <c r="B41" s="228" t="str">
        <f>"Fastpåregnelige pensionsgivende løndele i "&amp;E39&amp;" mdr:"</f>
        <v>Fastpåregnelige pensionsgivende løndele i  mdr:</v>
      </c>
      <c r="C41" s="229"/>
      <c r="D41" s="229"/>
      <c r="E41" s="229"/>
      <c r="F41" s="229"/>
      <c r="G41" s="229"/>
      <c r="H41" s="121"/>
      <c r="I41" s="230"/>
      <c r="J41" s="196"/>
      <c r="K41" s="38"/>
      <c r="L41" s="38"/>
    </row>
    <row r="42" spans="1:14" ht="16">
      <c r="A42" s="310"/>
      <c r="B42" s="228" t="str">
        <f>"Fastpåregnelige IKKE pensionsgivende løndele i "&amp;E39&amp;" mdr."</f>
        <v>Fastpåregnelige IKKE pensionsgivende løndele i  mdr.</v>
      </c>
      <c r="C42" s="229"/>
      <c r="D42" s="229"/>
      <c r="E42" s="229"/>
      <c r="F42" s="229"/>
      <c r="G42" s="229"/>
      <c r="H42" s="121"/>
      <c r="I42" s="230"/>
      <c r="J42" s="196"/>
      <c r="K42" s="38"/>
      <c r="L42" s="38"/>
    </row>
    <row r="43" spans="1:14" ht="16">
      <c r="A43" s="310"/>
      <c r="B43" s="212" t="s">
        <v>182</v>
      </c>
      <c r="C43" s="213"/>
      <c r="D43" s="213"/>
      <c r="E43" s="213"/>
      <c r="F43" s="213"/>
      <c r="G43" s="213"/>
      <c r="H43" s="129"/>
      <c r="I43" s="230"/>
      <c r="J43" s="196"/>
      <c r="K43" s="38"/>
      <c r="L43" s="38"/>
    </row>
    <row r="44" spans="1:14" ht="17" customHeight="1" thickBot="1">
      <c r="A44" s="310"/>
      <c r="B44" s="214" t="str">
        <f>"Feriefradrag vedr. løn og egetbidrag pension for "&amp;H39&amp;" dage i "&amp;E39&amp;" mdr. "&amp;F6&amp;""</f>
        <v xml:space="preserve">Feriefradrag vedr. løn og egetbidrag pension for  dage i  mdr. </v>
      </c>
      <c r="C44" s="215"/>
      <c r="D44" s="215"/>
      <c r="E44" s="215"/>
      <c r="F44" s="215"/>
      <c r="G44" s="215"/>
      <c r="H44" s="215"/>
      <c r="I44" s="69">
        <f>((H41+H42)+(H43/3))*12/52/5*H39*-1</f>
        <v>0</v>
      </c>
      <c r="J44" s="197"/>
      <c r="K44" s="38"/>
      <c r="L44" s="38"/>
    </row>
    <row r="45" spans="1:14" ht="16" customHeight="1">
      <c r="A45" s="310"/>
      <c r="B45" s="209" t="str">
        <f>"Løn under ferie "&amp;F6&amp;" - ferieperiode 3"</f>
        <v>Løn under ferie  - ferieperiode 3</v>
      </c>
      <c r="C45" s="210"/>
      <c r="D45" s="210"/>
      <c r="E45" s="210"/>
      <c r="F45" s="210"/>
      <c r="G45" s="210"/>
      <c r="H45" s="210"/>
      <c r="I45" s="211"/>
      <c r="J45" s="195" t="str">
        <f>IF($I$18&gt;"0","⬅"," ")</f>
        <v xml:space="preserve"> </v>
      </c>
      <c r="K45" s="38"/>
      <c r="L45" s="38"/>
    </row>
    <row r="46" spans="1:14" ht="16">
      <c r="A46" s="310"/>
      <c r="B46" s="224" t="s">
        <v>127</v>
      </c>
      <c r="C46" s="225"/>
      <c r="D46" s="225"/>
      <c r="E46" s="226"/>
      <c r="F46" s="227" t="str">
        <f>"Antal feriedage afholdt med fuld løn i "&amp;E46&amp;" mdr."</f>
        <v>Antal feriedage afholdt med fuld løn i  mdr.</v>
      </c>
      <c r="G46" s="227"/>
      <c r="H46" s="226"/>
      <c r="I46" s="230"/>
      <c r="J46" s="196"/>
      <c r="K46" s="38"/>
      <c r="L46" s="38"/>
    </row>
    <row r="47" spans="1:14" ht="16">
      <c r="A47" s="310"/>
      <c r="B47" s="224"/>
      <c r="C47" s="225"/>
      <c r="D47" s="225"/>
      <c r="E47" s="226"/>
      <c r="F47" s="227"/>
      <c r="G47" s="227"/>
      <c r="H47" s="226"/>
      <c r="I47" s="230"/>
      <c r="J47" s="196"/>
      <c r="K47" s="38"/>
      <c r="L47" s="38"/>
    </row>
    <row r="48" spans="1:14" ht="16">
      <c r="A48" s="310"/>
      <c r="B48" s="228" t="str">
        <f>"Fastpåregnelige pensionsgivende løndele i "&amp;E46&amp;" mdr:"</f>
        <v>Fastpåregnelige pensionsgivende løndele i  mdr:</v>
      </c>
      <c r="C48" s="229"/>
      <c r="D48" s="229"/>
      <c r="E48" s="229"/>
      <c r="F48" s="229"/>
      <c r="G48" s="229"/>
      <c r="H48" s="121"/>
      <c r="I48" s="230"/>
      <c r="J48" s="196"/>
      <c r="K48" s="38"/>
      <c r="L48" s="38"/>
    </row>
    <row r="49" spans="1:12" ht="16">
      <c r="A49" s="310"/>
      <c r="B49" s="228" t="str">
        <f>"Fastpåregnelige IKKE pensionsgivende løndele i "&amp;E46&amp;" mdr."</f>
        <v>Fastpåregnelige IKKE pensionsgivende løndele i  mdr.</v>
      </c>
      <c r="C49" s="229"/>
      <c r="D49" s="229"/>
      <c r="E49" s="229"/>
      <c r="F49" s="229"/>
      <c r="G49" s="229"/>
      <c r="H49" s="121"/>
      <c r="I49" s="230"/>
      <c r="J49" s="196"/>
      <c r="K49" s="38"/>
      <c r="L49" s="38"/>
    </row>
    <row r="50" spans="1:12" ht="16">
      <c r="A50" s="310"/>
      <c r="B50" s="212" t="s">
        <v>182</v>
      </c>
      <c r="C50" s="213"/>
      <c r="D50" s="213"/>
      <c r="E50" s="213"/>
      <c r="F50" s="213"/>
      <c r="G50" s="213"/>
      <c r="H50" s="129"/>
      <c r="I50" s="230"/>
      <c r="J50" s="196"/>
      <c r="K50" s="38"/>
      <c r="L50" s="38"/>
    </row>
    <row r="51" spans="1:12" ht="17" customHeight="1" thickBot="1">
      <c r="A51" s="310"/>
      <c r="B51" s="214" t="str">
        <f>"Feriefradrag vedr. løn og egetbidrag pension for "&amp;H46&amp;" dage i "&amp;E46&amp;" mdr. "&amp;F6&amp;""</f>
        <v xml:space="preserve">Feriefradrag vedr. løn og egetbidrag pension for  dage i  mdr. </v>
      </c>
      <c r="C51" s="215"/>
      <c r="D51" s="215"/>
      <c r="E51" s="215"/>
      <c r="F51" s="215"/>
      <c r="G51" s="215"/>
      <c r="H51" s="215"/>
      <c r="I51" s="69">
        <f>((H48+H49)+(H50/3))*12/52/5*H46*-1</f>
        <v>0</v>
      </c>
      <c r="J51" s="197"/>
      <c r="K51" s="38"/>
      <c r="L51" s="38"/>
    </row>
    <row r="52" spans="1:12" ht="16" customHeight="1">
      <c r="A52" s="310"/>
      <c r="B52" s="209" t="str">
        <f>"Løn under ferie "&amp;F6&amp;" - ferieperiode 4"</f>
        <v>Løn under ferie  - ferieperiode 4</v>
      </c>
      <c r="C52" s="210"/>
      <c r="D52" s="210"/>
      <c r="E52" s="210"/>
      <c r="F52" s="210"/>
      <c r="G52" s="210"/>
      <c r="H52" s="210"/>
      <c r="I52" s="211"/>
      <c r="J52" s="195" t="str">
        <f>IF($I$18&gt;"0","⬅"," ")</f>
        <v xml:space="preserve"> </v>
      </c>
      <c r="K52" s="38"/>
      <c r="L52" s="38"/>
    </row>
    <row r="53" spans="1:12" ht="16">
      <c r="A53" s="310"/>
      <c r="B53" s="224" t="s">
        <v>127</v>
      </c>
      <c r="C53" s="225"/>
      <c r="D53" s="225"/>
      <c r="E53" s="226"/>
      <c r="F53" s="227" t="str">
        <f>"Antal feriedage afholdt med fuld løn i "&amp;E53&amp;" mdr."</f>
        <v>Antal feriedage afholdt med fuld løn i  mdr.</v>
      </c>
      <c r="G53" s="227"/>
      <c r="H53" s="226"/>
      <c r="I53" s="230"/>
      <c r="J53" s="196"/>
      <c r="K53" s="38"/>
      <c r="L53" s="38"/>
    </row>
    <row r="54" spans="1:12" ht="16">
      <c r="A54" s="310"/>
      <c r="B54" s="224"/>
      <c r="C54" s="225"/>
      <c r="D54" s="225"/>
      <c r="E54" s="226"/>
      <c r="F54" s="227"/>
      <c r="G54" s="227"/>
      <c r="H54" s="226"/>
      <c r="I54" s="230"/>
      <c r="J54" s="196"/>
      <c r="K54" s="38"/>
      <c r="L54" s="38"/>
    </row>
    <row r="55" spans="1:12" ht="16">
      <c r="A55" s="310"/>
      <c r="B55" s="228" t="str">
        <f>"Fastpåregnelige pensionsgivende løndele i "&amp;E53&amp;" mdr:"</f>
        <v>Fastpåregnelige pensionsgivende løndele i  mdr:</v>
      </c>
      <c r="C55" s="229"/>
      <c r="D55" s="229"/>
      <c r="E55" s="229"/>
      <c r="F55" s="229"/>
      <c r="G55" s="229"/>
      <c r="H55" s="121"/>
      <c r="I55" s="230"/>
      <c r="J55" s="196"/>
      <c r="K55" s="38"/>
      <c r="L55" s="38"/>
    </row>
    <row r="56" spans="1:12" ht="16">
      <c r="A56" s="310"/>
      <c r="B56" s="228" t="str">
        <f>"Fastpåregnelige IKKE pensionsgivende løndele i "&amp;E53&amp;" mdr."</f>
        <v>Fastpåregnelige IKKE pensionsgivende løndele i  mdr.</v>
      </c>
      <c r="C56" s="229"/>
      <c r="D56" s="229"/>
      <c r="E56" s="229"/>
      <c r="F56" s="229"/>
      <c r="G56" s="229"/>
      <c r="H56" s="121"/>
      <c r="I56" s="230"/>
      <c r="J56" s="196"/>
      <c r="K56" s="38"/>
      <c r="L56" s="38"/>
    </row>
    <row r="57" spans="1:12" ht="16">
      <c r="A57" s="310"/>
      <c r="B57" s="212" t="s">
        <v>182</v>
      </c>
      <c r="C57" s="213"/>
      <c r="D57" s="213"/>
      <c r="E57" s="213"/>
      <c r="F57" s="213"/>
      <c r="G57" s="213"/>
      <c r="H57" s="129"/>
      <c r="I57" s="230"/>
      <c r="J57" s="196"/>
      <c r="K57" s="38"/>
      <c r="L57" s="38"/>
    </row>
    <row r="58" spans="1:12" ht="17" customHeight="1" thickBot="1">
      <c r="A58" s="311"/>
      <c r="B58" s="246" t="str">
        <f>"Feriefradrag vedr. løn og egetbidrag pension for "&amp;H53&amp;" dage i "&amp;E53&amp;" mdr. "&amp;F6&amp;""</f>
        <v xml:space="preserve">Feriefradrag vedr. løn og egetbidrag pension for  dage i  mdr. </v>
      </c>
      <c r="C58" s="247"/>
      <c r="D58" s="247"/>
      <c r="E58" s="247"/>
      <c r="F58" s="247"/>
      <c r="G58" s="247"/>
      <c r="H58" s="247"/>
      <c r="I58" s="68">
        <f>((H55+H56)+(H57/3))*12/52/5*H53*-1</f>
        <v>0</v>
      </c>
      <c r="J58" s="197"/>
      <c r="K58" s="38"/>
      <c r="L58" s="38"/>
    </row>
    <row r="59" spans="1:12" ht="17" thickBot="1">
      <c r="B59" s="38"/>
      <c r="C59" s="38"/>
      <c r="D59" s="38"/>
      <c r="E59" s="38"/>
      <c r="F59" s="38"/>
      <c r="G59" s="38"/>
      <c r="H59" s="38"/>
      <c r="I59" s="38"/>
      <c r="J59" s="38"/>
      <c r="K59" s="38"/>
      <c r="L59" s="38"/>
    </row>
    <row r="60" spans="1:12" ht="23" customHeight="1">
      <c r="A60" s="307" t="s">
        <v>153</v>
      </c>
      <c r="B60" s="234" t="str">
        <f>"Feriepengeberegningsgrundlaget vedr. "&amp;F6&amp;""</f>
        <v xml:space="preserve">Feriepengeberegningsgrundlaget vedr. </v>
      </c>
      <c r="C60" s="235"/>
      <c r="D60" s="235"/>
      <c r="E60" s="235"/>
      <c r="F60" s="235"/>
      <c r="G60" s="235"/>
      <c r="H60" s="236"/>
      <c r="I60" s="85">
        <f>I28+I29+I37+I44+I51+I58</f>
        <v>0</v>
      </c>
      <c r="J60" s="38"/>
      <c r="K60" s="38"/>
      <c r="L60" s="38"/>
    </row>
    <row r="61" spans="1:12" ht="23" customHeight="1">
      <c r="A61" s="310"/>
      <c r="B61" s="155" t="str">
        <f>"Feriepengeafregning for ej afholdte feriedage optjent i året "&amp;F6&amp;""</f>
        <v xml:space="preserve">Feriepengeafregning for ej afholdte feriedage optjent i året </v>
      </c>
      <c r="C61" s="237"/>
      <c r="D61" s="237"/>
      <c r="E61" s="237"/>
      <c r="F61" s="237"/>
      <c r="G61" s="237"/>
      <c r="H61" s="156"/>
      <c r="I61" s="130">
        <f>IF(AND(F18="nej",F19="Ja"),"0",(I60*I22))</f>
        <v>0</v>
      </c>
      <c r="J61" s="38"/>
      <c r="K61" s="38"/>
      <c r="L61" s="38"/>
    </row>
    <row r="62" spans="1:12" ht="23" customHeight="1">
      <c r="A62" s="310"/>
      <c r="B62" s="71" t="str">
        <f>"Delvis afregning af feriedage med beskæftigelse i en del af optjeningsåret "&amp;F6&amp;""</f>
        <v xml:space="preserve">Delvis afregning af feriedage med beskæftigelse i en del af optjeningsåret </v>
      </c>
      <c r="C62" s="73"/>
      <c r="D62" s="73"/>
      <c r="E62" s="73"/>
      <c r="F62" s="73"/>
      <c r="G62" s="73"/>
      <c r="H62" s="72"/>
      <c r="I62" s="86" t="str">
        <f>IF(I18&gt;="0",((I60*12.5%/H17)*(H17-F22)),"0")</f>
        <v>0</v>
      </c>
      <c r="J62" s="38"/>
      <c r="K62" s="38"/>
      <c r="L62" s="38"/>
    </row>
    <row r="63" spans="1:12" ht="36" customHeight="1">
      <c r="A63" s="310"/>
      <c r="B63" s="264" t="str">
        <f>"Er der udbetalt særlig ferietillæg for de dage der nu afregnes til feriekonto - ferieåret 01.05."&amp;(F6+1)&amp;" - 30.04."&amp;(F6+2)&amp;" (skriv beløbet)"</f>
        <v>Er der udbetalt særlig ferietillæg for de dage der nu afregnes til feriekonto - ferieåret 01.05.1 - 30.04.2 (skriv beløbet)</v>
      </c>
      <c r="C63" s="265"/>
      <c r="D63" s="265"/>
      <c r="E63" s="265"/>
      <c r="F63" s="265"/>
      <c r="G63" s="266"/>
      <c r="H63" s="122"/>
      <c r="I63" s="70">
        <f>IF(F4="x",(H63/F20*(F20-F22)*-1),0)</f>
        <v>0</v>
      </c>
      <c r="J63" s="38"/>
      <c r="K63" s="38"/>
      <c r="L63" s="38"/>
    </row>
    <row r="64" spans="1:12" ht="23" customHeight="1" thickBot="1">
      <c r="A64" s="310"/>
      <c r="B64" s="89" t="s">
        <v>137</v>
      </c>
      <c r="C64" s="90"/>
      <c r="D64" s="90"/>
      <c r="E64" s="90"/>
      <c r="F64" s="90"/>
      <c r="G64" s="90"/>
      <c r="H64" s="91"/>
      <c r="I64" s="92">
        <f>I61+I62+I63</f>
        <v>0</v>
      </c>
      <c r="J64" s="38"/>
      <c r="K64" s="38"/>
      <c r="L64" s="38"/>
    </row>
    <row r="65" spans="1:12" ht="23" customHeight="1" thickTop="1" thickBot="1">
      <c r="A65" s="311"/>
      <c r="B65" s="238" t="str">
        <f>"Særlige feriedage ej afholdt optjent i året "&amp;F6&amp;" - Udbetales direkte til de ansatte"</f>
        <v>Særlige feriedage ej afholdt optjent i året  - Udbetales direkte til de ansatte</v>
      </c>
      <c r="C65" s="239"/>
      <c r="D65" s="239"/>
      <c r="E65" s="239"/>
      <c r="F65" s="239"/>
      <c r="G65" s="239"/>
      <c r="H65" s="240"/>
      <c r="I65" s="93">
        <f>IF(AND(F24-F26&gt;0,F18="Nej"),((I60*2.5%/I17)*(F24-F26)),(I60*I26))</f>
        <v>0</v>
      </c>
      <c r="J65" s="38"/>
      <c r="K65" s="38"/>
      <c r="L65" s="38"/>
    </row>
    <row r="66" spans="1:12" ht="16">
      <c r="B66" s="38"/>
      <c r="C66" s="38"/>
      <c r="D66" s="38"/>
      <c r="E66" s="38"/>
      <c r="F66" s="38"/>
      <c r="G66" s="38"/>
      <c r="H66" s="38"/>
      <c r="I66" s="38"/>
      <c r="J66" s="38"/>
      <c r="K66" s="38"/>
      <c r="L66" s="38"/>
    </row>
    <row r="67" spans="1:12" ht="16">
      <c r="B67" s="38"/>
      <c r="C67" s="38"/>
      <c r="D67" s="38"/>
      <c r="E67" s="38"/>
      <c r="F67" s="38"/>
      <c r="G67" s="38"/>
      <c r="H67" s="38"/>
      <c r="I67" s="38"/>
      <c r="J67" s="38"/>
      <c r="K67" s="38"/>
      <c r="L67" s="38"/>
    </row>
    <row r="68" spans="1:12" ht="16">
      <c r="B68" s="38"/>
      <c r="C68" s="38"/>
      <c r="D68" s="38"/>
      <c r="E68" s="38"/>
      <c r="F68" s="38"/>
      <c r="G68" s="38"/>
      <c r="H68" s="38"/>
      <c r="I68" s="38"/>
      <c r="J68" s="38"/>
      <c r="K68" s="38"/>
      <c r="L68" s="38"/>
    </row>
    <row r="69" spans="1:12" ht="16">
      <c r="B69" s="38"/>
      <c r="C69" s="38"/>
      <c r="D69" s="38"/>
      <c r="E69" s="38"/>
      <c r="F69" s="38"/>
      <c r="G69" s="38"/>
      <c r="H69" s="38"/>
      <c r="I69" s="38"/>
      <c r="J69" s="38"/>
      <c r="K69" s="38"/>
      <c r="L69" s="38"/>
    </row>
    <row r="70" spans="1:12" ht="16">
      <c r="B70" s="38"/>
      <c r="C70" s="38"/>
      <c r="D70" s="38"/>
      <c r="E70" s="38"/>
      <c r="F70" s="38"/>
      <c r="G70" s="38"/>
      <c r="H70" s="38"/>
      <c r="I70" s="38"/>
      <c r="J70" s="38"/>
      <c r="K70" s="38"/>
      <c r="L70" s="38"/>
    </row>
    <row r="71" spans="1:12" ht="16">
      <c r="B71" s="38"/>
      <c r="C71" s="38"/>
      <c r="D71" s="38"/>
      <c r="E71" s="38"/>
      <c r="F71" s="38"/>
      <c r="G71" s="38"/>
      <c r="H71" s="38"/>
      <c r="I71" s="38"/>
      <c r="J71" s="38"/>
      <c r="K71" s="38"/>
      <c r="L71" s="38"/>
    </row>
    <row r="72" spans="1:12" ht="16">
      <c r="B72" s="38"/>
      <c r="C72" s="38"/>
      <c r="D72" s="38"/>
      <c r="E72" s="38"/>
      <c r="F72" s="38"/>
      <c r="G72" s="38"/>
      <c r="H72" s="38"/>
      <c r="I72" s="38"/>
      <c r="J72" s="38"/>
      <c r="K72" s="38"/>
      <c r="L72" s="38"/>
    </row>
    <row r="73" spans="1:12" ht="16">
      <c r="B73" s="38"/>
      <c r="C73" s="38"/>
      <c r="D73" s="38"/>
      <c r="E73" s="38"/>
      <c r="F73" s="38"/>
      <c r="G73" s="38"/>
      <c r="H73" s="38"/>
      <c r="I73" s="38"/>
      <c r="J73" s="38"/>
      <c r="K73" s="38"/>
      <c r="L73" s="38"/>
    </row>
    <row r="74" spans="1:12" ht="16">
      <c r="B74" s="38"/>
      <c r="C74" s="38"/>
      <c r="D74" s="38"/>
      <c r="E74" s="38"/>
      <c r="F74" s="38"/>
      <c r="G74" s="38"/>
      <c r="H74" s="38"/>
      <c r="I74" s="38"/>
      <c r="J74" s="38"/>
      <c r="K74" s="38"/>
      <c r="L74" s="38"/>
    </row>
    <row r="75" spans="1:12" ht="16">
      <c r="B75" s="38"/>
      <c r="C75" s="38"/>
      <c r="D75" s="38"/>
      <c r="E75" s="38"/>
      <c r="F75" s="38"/>
      <c r="G75" s="38"/>
      <c r="H75" s="38"/>
      <c r="I75" s="38"/>
      <c r="J75" s="38"/>
      <c r="K75" s="38"/>
      <c r="L75" s="38"/>
    </row>
    <row r="76" spans="1:12" ht="16">
      <c r="B76" s="38"/>
      <c r="C76" s="38"/>
      <c r="D76" s="38"/>
      <c r="E76" s="38"/>
      <c r="F76" s="38"/>
      <c r="G76" s="38"/>
      <c r="H76" s="38"/>
      <c r="I76" s="38"/>
      <c r="J76" s="38"/>
      <c r="K76" s="38"/>
      <c r="L76" s="38"/>
    </row>
    <row r="77" spans="1:12" ht="16">
      <c r="B77" s="38"/>
      <c r="C77" s="38"/>
      <c r="D77" s="38"/>
      <c r="E77" s="38"/>
      <c r="F77" s="38"/>
      <c r="G77" s="38"/>
      <c r="H77" s="38"/>
      <c r="I77" s="38"/>
      <c r="J77" s="38"/>
      <c r="K77" s="38"/>
      <c r="L77" s="38"/>
    </row>
    <row r="78" spans="1:12" ht="16">
      <c r="B78" s="38"/>
      <c r="C78" s="38"/>
      <c r="D78" s="38"/>
      <c r="E78" s="38"/>
      <c r="F78" s="38"/>
      <c r="G78" s="38"/>
      <c r="H78" s="38"/>
      <c r="I78" s="38"/>
      <c r="J78" s="38"/>
      <c r="K78" s="38"/>
      <c r="L78" s="38"/>
    </row>
    <row r="79" spans="1:12" ht="16">
      <c r="B79" s="38"/>
      <c r="C79" s="38"/>
      <c r="D79" s="38"/>
      <c r="E79" s="38"/>
      <c r="F79" s="38"/>
      <c r="G79" s="38"/>
      <c r="H79" s="38"/>
      <c r="I79" s="38"/>
      <c r="J79" s="38"/>
      <c r="K79" s="38"/>
      <c r="L79" s="38"/>
    </row>
    <row r="80" spans="1:12" ht="16">
      <c r="B80" s="38"/>
      <c r="C80" s="38"/>
      <c r="D80" s="38"/>
      <c r="E80" s="38"/>
      <c r="F80" s="38"/>
      <c r="G80" s="38"/>
      <c r="H80" s="38"/>
      <c r="I80" s="38"/>
      <c r="J80" s="38"/>
      <c r="K80" s="38"/>
      <c r="L80" s="38"/>
    </row>
    <row r="81" spans="2:12" ht="16">
      <c r="B81" s="38"/>
      <c r="C81" s="38"/>
      <c r="D81" s="38"/>
      <c r="E81" s="38"/>
      <c r="F81" s="38"/>
      <c r="G81" s="38"/>
      <c r="H81" s="38"/>
      <c r="I81" s="38"/>
      <c r="J81" s="38"/>
      <c r="K81" s="38"/>
      <c r="L81" s="38"/>
    </row>
    <row r="82" spans="2:12" ht="16">
      <c r="B82" s="38"/>
      <c r="C82" s="38"/>
      <c r="D82" s="38"/>
      <c r="E82" s="38"/>
      <c r="F82" s="38"/>
      <c r="G82" s="38"/>
      <c r="H82" s="38"/>
      <c r="I82" s="38"/>
      <c r="J82" s="38"/>
      <c r="K82" s="38"/>
      <c r="L82" s="38"/>
    </row>
    <row r="83" spans="2:12" ht="16">
      <c r="B83" s="38"/>
      <c r="C83" s="38"/>
      <c r="D83" s="38"/>
      <c r="E83" s="38"/>
      <c r="F83" s="38"/>
      <c r="G83" s="38"/>
      <c r="H83" s="38"/>
      <c r="I83" s="38"/>
      <c r="J83" s="38"/>
      <c r="K83" s="38"/>
      <c r="L83" s="38"/>
    </row>
    <row r="84" spans="2:12" ht="16">
      <c r="B84" s="38"/>
      <c r="C84" s="38"/>
      <c r="D84" s="38"/>
      <c r="E84" s="38"/>
      <c r="F84" s="38"/>
      <c r="G84" s="38"/>
      <c r="H84" s="38"/>
      <c r="I84" s="38"/>
      <c r="J84" s="38"/>
      <c r="K84" s="38"/>
      <c r="L84" s="38"/>
    </row>
    <row r="85" spans="2:12" ht="16">
      <c r="B85" s="38"/>
      <c r="C85" s="38"/>
      <c r="D85" s="38"/>
      <c r="E85" s="38"/>
      <c r="F85" s="38"/>
      <c r="G85" s="38"/>
      <c r="H85" s="38"/>
      <c r="I85" s="38"/>
      <c r="J85" s="38"/>
      <c r="K85" s="38"/>
      <c r="L85" s="38"/>
    </row>
    <row r="86" spans="2:12" ht="16">
      <c r="B86" s="38"/>
      <c r="C86" s="38"/>
      <c r="D86" s="38"/>
      <c r="E86" s="38"/>
      <c r="F86" s="38"/>
      <c r="G86" s="38"/>
      <c r="H86" s="38"/>
      <c r="I86" s="38"/>
    </row>
    <row r="87" spans="2:12" ht="16">
      <c r="B87" s="38"/>
      <c r="C87" s="38"/>
      <c r="D87" s="38"/>
      <c r="E87" s="38"/>
      <c r="F87" s="38"/>
      <c r="G87" s="38"/>
      <c r="H87" s="38"/>
      <c r="I87" s="38"/>
    </row>
    <row r="88" spans="2:12" ht="16">
      <c r="B88" s="38"/>
      <c r="C88" s="38"/>
      <c r="D88" s="38"/>
      <c r="E88" s="38"/>
      <c r="F88" s="38"/>
      <c r="G88" s="38"/>
      <c r="H88" s="38"/>
      <c r="I88" s="38"/>
    </row>
    <row r="89" spans="2:12" ht="16">
      <c r="B89" s="38"/>
      <c r="C89" s="38"/>
      <c r="D89" s="38"/>
      <c r="E89" s="38"/>
      <c r="F89" s="38"/>
      <c r="G89" s="38"/>
      <c r="H89" s="38"/>
      <c r="I89" s="38"/>
    </row>
    <row r="90" spans="2:12" ht="16">
      <c r="B90" s="38"/>
      <c r="C90" s="38"/>
      <c r="D90" s="38"/>
      <c r="E90" s="38"/>
      <c r="F90" s="38"/>
      <c r="G90" s="38"/>
      <c r="H90" s="38"/>
      <c r="I90" s="38"/>
    </row>
    <row r="91" spans="2:12" ht="16">
      <c r="B91" s="38"/>
      <c r="C91" s="38"/>
      <c r="D91" s="38"/>
      <c r="E91" s="38"/>
      <c r="F91" s="38"/>
      <c r="G91" s="38"/>
      <c r="H91" s="38"/>
      <c r="I91" s="38"/>
    </row>
    <row r="92" spans="2:12" ht="16">
      <c r="B92" s="38"/>
      <c r="C92" s="38"/>
      <c r="D92" s="38"/>
      <c r="E92" s="38"/>
      <c r="F92" s="38"/>
      <c r="G92" s="38"/>
      <c r="H92" s="38"/>
      <c r="I92" s="38"/>
    </row>
    <row r="93" spans="2:12" ht="16">
      <c r="B93" s="38"/>
      <c r="C93" s="38"/>
      <c r="D93" s="38"/>
      <c r="E93" s="38"/>
      <c r="F93" s="38"/>
      <c r="G93" s="38"/>
      <c r="H93" s="38"/>
      <c r="I93" s="38"/>
    </row>
    <row r="94" spans="2:12" ht="16">
      <c r="B94" s="38"/>
      <c r="C94" s="38"/>
      <c r="D94" s="38"/>
      <c r="E94" s="38"/>
      <c r="F94" s="38"/>
      <c r="G94" s="38"/>
      <c r="H94" s="38"/>
      <c r="I94" s="38"/>
    </row>
    <row r="95" spans="2:12" ht="16">
      <c r="B95" s="38"/>
      <c r="C95" s="38"/>
      <c r="D95" s="38"/>
      <c r="E95" s="38"/>
      <c r="F95" s="38"/>
      <c r="G95" s="38"/>
      <c r="H95" s="38"/>
      <c r="I95" s="38"/>
    </row>
    <row r="96" spans="2:12" ht="16">
      <c r="B96" s="38"/>
      <c r="C96" s="38"/>
      <c r="D96" s="38"/>
      <c r="E96" s="38"/>
      <c r="F96" s="38"/>
      <c r="G96" s="38"/>
      <c r="H96" s="38"/>
      <c r="I96" s="38"/>
    </row>
    <row r="97" spans="2:9" ht="16">
      <c r="B97" s="38"/>
      <c r="C97" s="38"/>
      <c r="D97" s="38"/>
      <c r="E97" s="38"/>
      <c r="F97" s="38"/>
      <c r="G97" s="38"/>
      <c r="H97" s="38"/>
      <c r="I97" s="38"/>
    </row>
    <row r="98" spans="2:9" ht="16">
      <c r="B98" s="38"/>
      <c r="C98" s="38"/>
      <c r="D98" s="38"/>
      <c r="E98" s="38"/>
      <c r="F98" s="38"/>
      <c r="G98" s="38"/>
      <c r="H98" s="38"/>
      <c r="I98" s="38"/>
    </row>
    <row r="99" spans="2:9" ht="16">
      <c r="B99" s="38"/>
      <c r="C99" s="38"/>
      <c r="D99" s="38"/>
      <c r="E99" s="38"/>
      <c r="F99" s="38"/>
      <c r="G99" s="38"/>
      <c r="H99" s="38"/>
      <c r="I99" s="38"/>
    </row>
  </sheetData>
  <sheetProtection sheet="1" objects="1" scenarios="1"/>
  <mergeCells count="105">
    <mergeCell ref="A1:A7"/>
    <mergeCell ref="A8:A17"/>
    <mergeCell ref="A18:A29"/>
    <mergeCell ref="A30:A58"/>
    <mergeCell ref="A60:A65"/>
    <mergeCell ref="B35:G35"/>
    <mergeCell ref="B36:G36"/>
    <mergeCell ref="I39:I43"/>
    <mergeCell ref="I32:I36"/>
    <mergeCell ref="B37:H37"/>
    <mergeCell ref="B41:G41"/>
    <mergeCell ref="B42:G42"/>
    <mergeCell ref="B39:D40"/>
    <mergeCell ref="E39:E40"/>
    <mergeCell ref="F32:G33"/>
    <mergeCell ref="B32:D33"/>
    <mergeCell ref="E32:E33"/>
    <mergeCell ref="H32:H33"/>
    <mergeCell ref="B30:I30"/>
    <mergeCell ref="B1:I1"/>
    <mergeCell ref="B24:E25"/>
    <mergeCell ref="F6:H6"/>
    <mergeCell ref="I22:I23"/>
    <mergeCell ref="B26:E27"/>
    <mergeCell ref="B3:E3"/>
    <mergeCell ref="B20:E21"/>
    <mergeCell ref="F20:H21"/>
    <mergeCell ref="F22:H23"/>
    <mergeCell ref="F3:H3"/>
    <mergeCell ref="B19:E19"/>
    <mergeCell ref="F18:H18"/>
    <mergeCell ref="F19:H19"/>
    <mergeCell ref="I18:I19"/>
    <mergeCell ref="B16:G16"/>
    <mergeCell ref="I8:I9"/>
    <mergeCell ref="I3:I6"/>
    <mergeCell ref="B8:C8"/>
    <mergeCell ref="B9:C9"/>
    <mergeCell ref="D8:E8"/>
    <mergeCell ref="D9:E9"/>
    <mergeCell ref="H8:H9"/>
    <mergeCell ref="B7:H7"/>
    <mergeCell ref="B17:G17"/>
    <mergeCell ref="B2:I2"/>
    <mergeCell ref="B60:H60"/>
    <mergeCell ref="B61:H61"/>
    <mergeCell ref="B65:H65"/>
    <mergeCell ref="F24:H25"/>
    <mergeCell ref="B6:E6"/>
    <mergeCell ref="B51:H51"/>
    <mergeCell ref="B55:G55"/>
    <mergeCell ref="B56:G56"/>
    <mergeCell ref="B57:G57"/>
    <mergeCell ref="B58:H58"/>
    <mergeCell ref="I53:I57"/>
    <mergeCell ref="B18:E18"/>
    <mergeCell ref="F26:H27"/>
    <mergeCell ref="I24:I25"/>
    <mergeCell ref="I26:I27"/>
    <mergeCell ref="B53:D54"/>
    <mergeCell ref="E53:E54"/>
    <mergeCell ref="F53:G54"/>
    <mergeCell ref="H53:H54"/>
    <mergeCell ref="B4:E5"/>
    <mergeCell ref="F4:H5"/>
    <mergeCell ref="B63:G63"/>
    <mergeCell ref="B28:H28"/>
    <mergeCell ref="B29:H29"/>
    <mergeCell ref="B46:D47"/>
    <mergeCell ref="E46:E47"/>
    <mergeCell ref="F46:G47"/>
    <mergeCell ref="H46:H47"/>
    <mergeCell ref="B52:I52"/>
    <mergeCell ref="B48:G48"/>
    <mergeCell ref="B49:G49"/>
    <mergeCell ref="B50:G50"/>
    <mergeCell ref="I46:I50"/>
    <mergeCell ref="F39:G40"/>
    <mergeCell ref="H39:H40"/>
    <mergeCell ref="B38:I38"/>
    <mergeCell ref="B31:I31"/>
    <mergeCell ref="J22:J23"/>
    <mergeCell ref="J52:J58"/>
    <mergeCell ref="J45:J51"/>
    <mergeCell ref="J38:J44"/>
    <mergeCell ref="J31:J37"/>
    <mergeCell ref="J24:J25"/>
    <mergeCell ref="B10:C10"/>
    <mergeCell ref="B11:C11"/>
    <mergeCell ref="B12:C12"/>
    <mergeCell ref="B13:C13"/>
    <mergeCell ref="B14:C14"/>
    <mergeCell ref="B15:C15"/>
    <mergeCell ref="D10:E10"/>
    <mergeCell ref="D11:E11"/>
    <mergeCell ref="D12:E12"/>
    <mergeCell ref="D13:E13"/>
    <mergeCell ref="D14:E14"/>
    <mergeCell ref="D15:E15"/>
    <mergeCell ref="B45:I45"/>
    <mergeCell ref="B43:G43"/>
    <mergeCell ref="B44:H44"/>
    <mergeCell ref="B34:G34"/>
    <mergeCell ref="B22:E23"/>
    <mergeCell ref="I20:I21"/>
  </mergeCells>
  <phoneticPr fontId="18" type="noConversion"/>
  <dataValidations count="3">
    <dataValidation allowBlank="1" showInputMessage="1" showErrorMessage="1" promptTitle="BEMÆRK" prompt="Der optjenes kun ret til særlige feriedage såfremt den ansatte er ansat under ferieaftalen._x000a_" sqref="F24:H25" xr:uid="{00000000-0002-0000-0300-000000000000}"/>
    <dataValidation type="list" allowBlank="1" showInputMessage="1" showErrorMessage="1" sqref="F19:H19" xr:uid="{00000000-0002-0000-0300-000001000000}">
      <formula1>$L$4:$L$5</formula1>
    </dataValidation>
    <dataValidation type="list" allowBlank="1" showInputMessage="1" showErrorMessage="1" sqref="F4:H5" xr:uid="{00000000-0002-0000-0300-000002000000}">
      <formula1>$K$4:$K$5</formula1>
    </dataValidation>
  </dataValidations>
  <pageMargins left="0.7" right="0.7" top="0.75" bottom="0.75" header="0.3" footer="0.3"/>
  <pageSetup scale="5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
  <sheetViews>
    <sheetView workbookViewId="0">
      <selection activeCell="B1" sqref="B1:L20"/>
    </sheetView>
  </sheetViews>
  <sheetFormatPr baseColWidth="10" defaultRowHeight="14"/>
  <cols>
    <col min="1" max="1" width="5" bestFit="1" customWidth="1"/>
    <col min="2" max="2" width="7.5703125" bestFit="1" customWidth="1"/>
    <col min="3" max="5" width="6.5703125" customWidth="1"/>
    <col min="6" max="6" width="5.42578125" bestFit="1" customWidth="1"/>
    <col min="7" max="7" width="13" customWidth="1"/>
    <col min="8" max="8" width="7" bestFit="1" customWidth="1"/>
    <col min="9" max="9" width="7.85546875" customWidth="1"/>
    <col min="10" max="10" width="7" bestFit="1" customWidth="1"/>
    <col min="11" max="11" width="6.28515625" bestFit="1" customWidth="1"/>
    <col min="12" max="12" width="4.5703125" bestFit="1" customWidth="1"/>
    <col min="13" max="13" width="4.85546875" bestFit="1" customWidth="1"/>
    <col min="14" max="14" width="4.5703125" bestFit="1" customWidth="1"/>
    <col min="15" max="15" width="6.7109375" bestFit="1" customWidth="1"/>
    <col min="16" max="16" width="5.5703125" bestFit="1" customWidth="1"/>
  </cols>
  <sheetData>
    <row r="1" spans="1:16">
      <c r="A1" s="342"/>
      <c r="B1" s="342"/>
      <c r="C1" s="339" t="s">
        <v>28</v>
      </c>
      <c r="D1" s="340"/>
      <c r="E1" s="340"/>
      <c r="F1" s="349"/>
      <c r="G1" s="336" t="s">
        <v>29</v>
      </c>
      <c r="H1" s="348"/>
      <c r="I1" s="342"/>
      <c r="J1" s="342"/>
      <c r="K1" s="342"/>
      <c r="L1" s="342"/>
      <c r="M1" s="342"/>
      <c r="N1" s="342"/>
      <c r="O1" s="342"/>
      <c r="P1" s="342"/>
    </row>
    <row r="2" spans="1:16">
      <c r="A2" s="342"/>
      <c r="B2" s="342"/>
      <c r="C2" s="340"/>
      <c r="D2" s="340"/>
      <c r="E2" s="340"/>
      <c r="F2" s="349"/>
      <c r="G2" s="337"/>
      <c r="H2" s="348"/>
      <c r="I2" s="342"/>
      <c r="J2" s="342"/>
      <c r="K2" s="342"/>
      <c r="L2" s="342"/>
      <c r="M2" s="342"/>
      <c r="N2" s="342"/>
      <c r="O2" s="342"/>
      <c r="P2" s="342"/>
    </row>
    <row r="3" spans="1:16">
      <c r="A3" s="342"/>
      <c r="B3" s="343"/>
      <c r="C3" s="341"/>
      <c r="D3" s="341"/>
      <c r="E3" s="341"/>
      <c r="F3" s="350"/>
      <c r="G3" s="338"/>
      <c r="H3" s="351"/>
      <c r="I3" s="343"/>
      <c r="J3" s="343"/>
      <c r="K3" s="343"/>
      <c r="L3" s="343"/>
      <c r="M3" s="342"/>
      <c r="N3" s="342"/>
      <c r="O3" s="342"/>
      <c r="P3" s="342"/>
    </row>
    <row r="4" spans="1:16" ht="29">
      <c r="A4" s="344"/>
      <c r="B4" s="345" t="s">
        <v>37</v>
      </c>
      <c r="C4" s="8" t="s">
        <v>38</v>
      </c>
      <c r="D4" s="8" t="s">
        <v>40</v>
      </c>
      <c r="E4" s="8" t="s">
        <v>41</v>
      </c>
      <c r="F4" s="8" t="s">
        <v>42</v>
      </c>
      <c r="G4" s="11" t="s">
        <v>47</v>
      </c>
      <c r="H4" s="8" t="s">
        <v>53</v>
      </c>
      <c r="I4" s="8" t="s">
        <v>56</v>
      </c>
      <c r="J4" s="15" t="s">
        <v>59</v>
      </c>
      <c r="K4" s="8" t="s">
        <v>10</v>
      </c>
      <c r="L4" s="8" t="s">
        <v>10</v>
      </c>
      <c r="M4" s="348" t="s">
        <v>45</v>
      </c>
      <c r="N4" s="342" t="s">
        <v>11</v>
      </c>
      <c r="O4" s="335">
        <v>37103</v>
      </c>
      <c r="P4" s="335">
        <v>37102</v>
      </c>
    </row>
    <row r="5" spans="1:16" ht="15">
      <c r="A5" s="344"/>
      <c r="B5" s="346"/>
      <c r="C5" s="9" t="s">
        <v>39</v>
      </c>
      <c r="D5" s="9" t="s">
        <v>38</v>
      </c>
      <c r="E5" s="9" t="s">
        <v>39</v>
      </c>
      <c r="F5" s="9" t="s">
        <v>43</v>
      </c>
      <c r="G5" s="12" t="s">
        <v>48</v>
      </c>
      <c r="H5" s="9" t="s">
        <v>45</v>
      </c>
      <c r="I5" s="9" t="s">
        <v>57</v>
      </c>
      <c r="J5" s="16" t="s">
        <v>60</v>
      </c>
      <c r="K5" s="9" t="s">
        <v>61</v>
      </c>
      <c r="L5" s="9" t="s">
        <v>30</v>
      </c>
      <c r="M5" s="348"/>
      <c r="N5" s="342"/>
      <c r="O5" s="335"/>
      <c r="P5" s="335"/>
    </row>
    <row r="6" spans="1:16" ht="29">
      <c r="A6" s="344"/>
      <c r="B6" s="346"/>
      <c r="C6" s="9"/>
      <c r="D6" s="9" t="s">
        <v>39</v>
      </c>
      <c r="E6" s="9"/>
      <c r="F6" s="9" t="s">
        <v>36</v>
      </c>
      <c r="G6" s="12" t="s">
        <v>49</v>
      </c>
      <c r="H6" s="14"/>
      <c r="I6" s="9" t="s">
        <v>58</v>
      </c>
      <c r="J6" s="16" t="s">
        <v>61</v>
      </c>
      <c r="K6" s="9" t="s">
        <v>45</v>
      </c>
      <c r="L6" s="9" t="s">
        <v>45</v>
      </c>
      <c r="M6" s="348"/>
      <c r="N6" s="342"/>
      <c r="O6" s="335"/>
      <c r="P6" s="335"/>
    </row>
    <row r="7" spans="1:16" ht="13" customHeight="1">
      <c r="A7" s="344"/>
      <c r="B7" s="346"/>
      <c r="C7" s="9"/>
      <c r="D7" s="9"/>
      <c r="E7" s="9"/>
      <c r="F7" s="9" t="s">
        <v>44</v>
      </c>
      <c r="G7" s="12" t="s">
        <v>50</v>
      </c>
      <c r="H7" s="14"/>
      <c r="I7" s="14"/>
      <c r="J7" s="16" t="s">
        <v>9</v>
      </c>
      <c r="K7" s="9"/>
      <c r="L7" s="9"/>
      <c r="M7" s="348"/>
      <c r="N7" s="342"/>
      <c r="O7" s="335"/>
      <c r="P7" s="335"/>
    </row>
    <row r="8" spans="1:16" ht="15">
      <c r="A8" s="344"/>
      <c r="B8" s="346"/>
      <c r="C8" s="9"/>
      <c r="D8" s="9"/>
      <c r="E8" s="9"/>
      <c r="F8" s="9" t="s">
        <v>45</v>
      </c>
      <c r="G8" s="12" t="s">
        <v>51</v>
      </c>
      <c r="H8" s="9" t="s">
        <v>54</v>
      </c>
      <c r="I8" s="9" t="s">
        <v>54</v>
      </c>
      <c r="J8" s="16"/>
      <c r="K8" s="9"/>
      <c r="L8" s="9"/>
      <c r="M8" s="348"/>
      <c r="N8" s="342"/>
      <c r="O8" s="335"/>
      <c r="P8" s="335"/>
    </row>
    <row r="9" spans="1:16" ht="15">
      <c r="A9" s="344"/>
      <c r="B9" s="347"/>
      <c r="C9" s="10"/>
      <c r="D9" s="10"/>
      <c r="E9" s="10"/>
      <c r="F9" s="10" t="s">
        <v>46</v>
      </c>
      <c r="G9" s="13" t="s">
        <v>52</v>
      </c>
      <c r="H9" s="10" t="s">
        <v>55</v>
      </c>
      <c r="I9" s="10" t="s">
        <v>55</v>
      </c>
      <c r="J9" s="17"/>
      <c r="K9" s="10"/>
      <c r="L9" s="10"/>
      <c r="M9" s="348"/>
      <c r="N9" s="342"/>
      <c r="O9" s="335"/>
      <c r="P9" s="335"/>
    </row>
    <row r="10" spans="1:16" ht="16">
      <c r="A10" s="7"/>
      <c r="B10" s="18"/>
      <c r="C10" s="34">
        <v>34327</v>
      </c>
      <c r="D10" s="34">
        <v>34328</v>
      </c>
      <c r="E10" s="34">
        <v>33969</v>
      </c>
      <c r="F10" s="19"/>
      <c r="G10" s="18"/>
      <c r="H10" s="18"/>
      <c r="I10" s="18"/>
      <c r="J10" s="20"/>
      <c r="K10" s="21"/>
      <c r="L10" s="21"/>
      <c r="M10" s="7"/>
      <c r="N10" s="7"/>
      <c r="O10" s="7"/>
      <c r="P10" s="7"/>
    </row>
    <row r="11" spans="1:16" ht="16">
      <c r="A11" s="24">
        <v>2008</v>
      </c>
      <c r="B11" s="25" t="s">
        <v>19</v>
      </c>
      <c r="C11" s="26" t="s">
        <v>17</v>
      </c>
      <c r="D11" s="26" t="s">
        <v>18</v>
      </c>
      <c r="E11" s="26" t="s">
        <v>17</v>
      </c>
      <c r="F11" s="26">
        <v>3</v>
      </c>
      <c r="G11" s="26">
        <v>6</v>
      </c>
      <c r="H11" s="26">
        <v>25</v>
      </c>
      <c r="I11" s="26">
        <v>34</v>
      </c>
      <c r="J11" s="27">
        <v>1672.4</v>
      </c>
      <c r="K11" s="25">
        <v>227</v>
      </c>
      <c r="L11" s="25">
        <v>113</v>
      </c>
      <c r="M11" s="7">
        <v>365</v>
      </c>
      <c r="N11" s="7">
        <v>104</v>
      </c>
      <c r="O11" s="7" t="s">
        <v>18</v>
      </c>
      <c r="P11" s="7" t="s">
        <v>18</v>
      </c>
    </row>
    <row r="12" spans="1:16" ht="16">
      <c r="A12" s="24">
        <v>2009</v>
      </c>
      <c r="B12" s="25" t="s">
        <v>20</v>
      </c>
      <c r="C12" s="26" t="s">
        <v>18</v>
      </c>
      <c r="D12" s="26" t="s">
        <v>12</v>
      </c>
      <c r="E12" s="26" t="s">
        <v>18</v>
      </c>
      <c r="F12" s="26">
        <v>2</v>
      </c>
      <c r="G12" s="26">
        <v>6</v>
      </c>
      <c r="H12" s="26">
        <v>25</v>
      </c>
      <c r="I12" s="26">
        <v>33</v>
      </c>
      <c r="J12" s="27">
        <v>1679.8</v>
      </c>
      <c r="K12" s="25">
        <v>227</v>
      </c>
      <c r="L12" s="25">
        <v>113</v>
      </c>
      <c r="M12" s="7">
        <v>365</v>
      </c>
      <c r="N12" s="7">
        <v>105</v>
      </c>
      <c r="O12" s="7" t="s">
        <v>12</v>
      </c>
      <c r="P12" s="7" t="s">
        <v>12</v>
      </c>
    </row>
    <row r="13" spans="1:16" ht="16">
      <c r="A13" s="7">
        <v>2010</v>
      </c>
      <c r="B13" s="21" t="s">
        <v>21</v>
      </c>
      <c r="C13" s="22" t="s">
        <v>12</v>
      </c>
      <c r="D13" s="22" t="s">
        <v>13</v>
      </c>
      <c r="E13" s="22" t="s">
        <v>12</v>
      </c>
      <c r="F13" s="22">
        <v>0</v>
      </c>
      <c r="G13" s="22">
        <v>6</v>
      </c>
      <c r="H13" s="22">
        <v>25</v>
      </c>
      <c r="I13" s="22">
        <v>31</v>
      </c>
      <c r="J13" s="23">
        <v>1694.6</v>
      </c>
      <c r="K13" s="21">
        <v>229</v>
      </c>
      <c r="L13" s="21">
        <v>111</v>
      </c>
      <c r="M13" s="7">
        <v>365</v>
      </c>
      <c r="N13" s="7">
        <v>105</v>
      </c>
      <c r="O13" s="7" t="s">
        <v>13</v>
      </c>
      <c r="P13" s="7" t="s">
        <v>13</v>
      </c>
    </row>
    <row r="14" spans="1:16" ht="16">
      <c r="A14" s="7">
        <v>2011</v>
      </c>
      <c r="B14" s="21" t="s">
        <v>22</v>
      </c>
      <c r="C14" s="22" t="s">
        <v>13</v>
      </c>
      <c r="D14" s="22" t="s">
        <v>14</v>
      </c>
      <c r="E14" s="22" t="s">
        <v>13</v>
      </c>
      <c r="F14" s="22">
        <v>1</v>
      </c>
      <c r="G14" s="22">
        <v>6</v>
      </c>
      <c r="H14" s="22">
        <v>25</v>
      </c>
      <c r="I14" s="22">
        <v>32</v>
      </c>
      <c r="J14" s="23">
        <v>1687.2</v>
      </c>
      <c r="K14" s="21">
        <v>230</v>
      </c>
      <c r="L14" s="21">
        <v>111</v>
      </c>
      <c r="M14" s="7">
        <v>366</v>
      </c>
      <c r="N14" s="7">
        <v>104</v>
      </c>
      <c r="O14" s="7" t="s">
        <v>14</v>
      </c>
      <c r="P14" s="7" t="s">
        <v>15</v>
      </c>
    </row>
    <row r="15" spans="1:16" ht="16">
      <c r="A15" s="7">
        <v>2012</v>
      </c>
      <c r="B15" s="21" t="s">
        <v>23</v>
      </c>
      <c r="C15" s="22" t="s">
        <v>15</v>
      </c>
      <c r="D15" s="22" t="s">
        <v>16</v>
      </c>
      <c r="E15" s="22" t="s">
        <v>15</v>
      </c>
      <c r="F15" s="22">
        <v>3</v>
      </c>
      <c r="G15" s="22">
        <v>6</v>
      </c>
      <c r="H15" s="22">
        <v>25</v>
      </c>
      <c r="I15" s="22">
        <v>34</v>
      </c>
      <c r="J15" s="23">
        <v>1672.4</v>
      </c>
      <c r="K15" s="21">
        <v>227</v>
      </c>
      <c r="L15" s="21">
        <v>113</v>
      </c>
      <c r="M15" s="7">
        <v>365</v>
      </c>
      <c r="N15" s="7">
        <v>104</v>
      </c>
      <c r="O15" s="7" t="s">
        <v>16</v>
      </c>
      <c r="P15" s="7" t="s">
        <v>16</v>
      </c>
    </row>
    <row r="16" spans="1:16" ht="16">
      <c r="A16" s="7">
        <v>2013</v>
      </c>
      <c r="B16" s="21" t="s">
        <v>24</v>
      </c>
      <c r="C16" s="30" t="str">
        <f>CHOOSE(WEEKDAY(DATE(A16,12,25)),"sø","ma","ti","on","to","fr","lø")</f>
        <v>on</v>
      </c>
      <c r="D16" s="30" t="str">
        <f>CHOOSE(WEEKDAY(DATE($A16,12,26)),"sø","ma","ti","on","to","fr","lø")</f>
        <v>to</v>
      </c>
      <c r="E16" s="30" t="str">
        <f>CHOOSE(WEEKDAY(DATE($A16+1,1,1)),"sø","ma","ti","on","to","fr","lø")</f>
        <v>on</v>
      </c>
      <c r="F16" s="30">
        <f>3-((MID(C16,2,1)="ø")*2+(MID(D16,2,1)="ø"))</f>
        <v>3</v>
      </c>
      <c r="G16" s="30">
        <v>6</v>
      </c>
      <c r="H16" s="30">
        <v>25</v>
      </c>
      <c r="I16" s="30">
        <f>F16+G16+H16</f>
        <v>34</v>
      </c>
      <c r="J16" s="31">
        <f>1924-I16*7.4</f>
        <v>1672.4</v>
      </c>
      <c r="K16" s="32">
        <f>M16-N16-I16</f>
        <v>227</v>
      </c>
      <c r="L16" s="32">
        <f>M16-K16-H16</f>
        <v>113</v>
      </c>
      <c r="M16" s="33">
        <v>365</v>
      </c>
      <c r="N16" s="33">
        <v>104</v>
      </c>
      <c r="O16" s="33" t="str">
        <f>CHOOSE(WEEKDAY(DATE($A16,8,1)),"sø","ma","ti","on","to","fr","lø")</f>
        <v>to</v>
      </c>
      <c r="P16" s="33" t="str">
        <f>CHOOSE(WEEKDAY(DATE($A16+1,7,31)),"sø","ma","ti","on","to","fr","lø")</f>
        <v>to</v>
      </c>
    </row>
    <row r="17" spans="1:16" ht="16">
      <c r="A17" s="7">
        <v>2014</v>
      </c>
      <c r="B17" s="21" t="s">
        <v>25</v>
      </c>
      <c r="C17" s="30" t="str">
        <f>CHOOSE(WEEKDAY(DATE(A17,12,25)),"sø","ma","ti","on","to","fr","lø")</f>
        <v>to</v>
      </c>
      <c r="D17" s="30" t="str">
        <f>CHOOSE(WEEKDAY(DATE($A17,12,26)),"sø","ma","ti","on","to","fr","lø")</f>
        <v>fr</v>
      </c>
      <c r="E17" s="30" t="str">
        <f>CHOOSE(WEEKDAY(DATE($A17+1,1,1)),"sø","ma","ti","on","to","fr","lø")</f>
        <v>to</v>
      </c>
      <c r="F17" s="30">
        <f>3-((MID(C17,2,1)="ø")*2+(MID(D17,2,1)="ø"))</f>
        <v>3</v>
      </c>
      <c r="G17" s="30">
        <v>6</v>
      </c>
      <c r="H17" s="30">
        <v>25</v>
      </c>
      <c r="I17" s="30">
        <f>F17+G17+H17</f>
        <v>34</v>
      </c>
      <c r="J17" s="31">
        <f>1924-I17*7.4</f>
        <v>1672.4</v>
      </c>
      <c r="K17" s="32">
        <f>M17-N17-I17</f>
        <v>227</v>
      </c>
      <c r="L17" s="32">
        <f>M17-K17-H17</f>
        <v>113</v>
      </c>
      <c r="M17" s="33">
        <v>365</v>
      </c>
      <c r="N17" s="33">
        <v>104</v>
      </c>
      <c r="O17" s="33" t="str">
        <f>CHOOSE(WEEKDAY(DATE($A17,8,1)),"sø","ma","ti","on","to","fr","lø")</f>
        <v>fr</v>
      </c>
      <c r="P17" s="33" t="str">
        <f>CHOOSE(WEEKDAY(DATE($A17+1,7,31)),"sø","ma","ti","on","to","fr","lø")</f>
        <v>fr</v>
      </c>
    </row>
    <row r="18" spans="1:16" ht="16">
      <c r="A18" s="7">
        <v>2015</v>
      </c>
      <c r="B18" s="21" t="s">
        <v>26</v>
      </c>
      <c r="C18" s="30" t="str">
        <f>CHOOSE(WEEKDAY(DATE(A18,12,25)),"sø","ma","ti","on","to","fr","lø")</f>
        <v>fr</v>
      </c>
      <c r="D18" s="30" t="str">
        <f>CHOOSE(WEEKDAY(DATE($A18,12,26)),"sø","ma","ti","on","to","fr","lø")</f>
        <v>lø</v>
      </c>
      <c r="E18" s="30" t="str">
        <f>CHOOSE(WEEKDAY(DATE($A18+1,1,1)),"sø","ma","ti","on","to","fr","lø")</f>
        <v>fr</v>
      </c>
      <c r="F18" s="30">
        <f>3-((MID(C18,2,1)="ø")*2+(MID(D18,2,1)="ø"))</f>
        <v>2</v>
      </c>
      <c r="G18" s="30">
        <v>6</v>
      </c>
      <c r="H18" s="30">
        <v>25</v>
      </c>
      <c r="I18" s="30">
        <f>F18+G18+H18</f>
        <v>33</v>
      </c>
      <c r="J18" s="31">
        <f>1924-I18*7.4</f>
        <v>1679.8</v>
      </c>
      <c r="K18" s="32">
        <f>M18-N18-I18</f>
        <v>229</v>
      </c>
      <c r="L18" s="32">
        <f>M18-K18-H18</f>
        <v>112</v>
      </c>
      <c r="M18" s="33">
        <v>366</v>
      </c>
      <c r="N18" s="33">
        <v>104</v>
      </c>
      <c r="O18" s="33" t="str">
        <f>CHOOSE(WEEKDAY(DATE($A18,8,1)),"sø","ma","ti","on","to","fr","lø")</f>
        <v>lø</v>
      </c>
      <c r="P18" s="33" t="str">
        <f>CHOOSE(WEEKDAY(DATE($A18+1,7,31)),"sø","ma","ti","on","to","fr","lø")</f>
        <v>sø</v>
      </c>
    </row>
    <row r="19" spans="1:16" ht="16">
      <c r="A19" s="7">
        <v>2016</v>
      </c>
      <c r="B19" s="21" t="s">
        <v>27</v>
      </c>
      <c r="C19" s="30" t="str">
        <f>CHOOSE(WEEKDAY(DATE(A19,12,25)),"sø","ma","ti","on","to","fr","lø")</f>
        <v>sø</v>
      </c>
      <c r="D19" s="30" t="str">
        <f>CHOOSE(WEEKDAY(DATE($A19,12,26)),"sø","ma","ti","on","to","fr","lø")</f>
        <v>ma</v>
      </c>
      <c r="E19" s="30" t="str">
        <f>CHOOSE(WEEKDAY(DATE($A19+1,1,1)),"sø","ma","ti","on","to","fr","lø")</f>
        <v>sø</v>
      </c>
      <c r="F19" s="30">
        <f>3-((MID(C19,2,1)="ø")*2+(MID(D19,2,1)="ø"))</f>
        <v>1</v>
      </c>
      <c r="G19" s="30">
        <v>6</v>
      </c>
      <c r="H19" s="30">
        <v>25</v>
      </c>
      <c r="I19" s="30">
        <f>F19+G19+H19</f>
        <v>32</v>
      </c>
      <c r="J19" s="31">
        <f>1924-I19*7.4</f>
        <v>1687.2</v>
      </c>
      <c r="K19" s="32">
        <f>M19-N19-I19</f>
        <v>229</v>
      </c>
      <c r="L19" s="32">
        <f>M19-K19-H19</f>
        <v>111</v>
      </c>
      <c r="M19" s="33">
        <v>365</v>
      </c>
      <c r="N19" s="33">
        <v>104</v>
      </c>
      <c r="O19" s="33" t="str">
        <f>CHOOSE(WEEKDAY(DATE($A19,8,1)),"sø","ma","ti","on","to","fr","lø")</f>
        <v>ma</v>
      </c>
      <c r="P19" s="33" t="str">
        <f>CHOOSE(WEEKDAY(DATE($A19+1,7,31)),"sø","ma","ti","on","to","fr","lø")</f>
        <v>ma</v>
      </c>
    </row>
    <row r="20" spans="1:16" ht="16">
      <c r="A20" s="7"/>
      <c r="B20" s="7"/>
      <c r="C20" s="7"/>
      <c r="D20" s="7"/>
      <c r="E20" s="7"/>
      <c r="F20" s="7"/>
      <c r="G20" s="7"/>
      <c r="H20" s="7"/>
      <c r="I20" s="28" t="s">
        <v>3</v>
      </c>
      <c r="J20" s="29">
        <f>AVERAGE(J11:J19)</f>
        <v>1679.8</v>
      </c>
      <c r="K20" s="7"/>
      <c r="L20" s="7"/>
      <c r="M20" s="7"/>
      <c r="N20" s="7"/>
      <c r="O20" s="7"/>
      <c r="P20" s="7"/>
    </row>
  </sheetData>
  <mergeCells count="20">
    <mergeCell ref="A4:A9"/>
    <mergeCell ref="B4:B9"/>
    <mergeCell ref="M4:M9"/>
    <mergeCell ref="N4:N9"/>
    <mergeCell ref="K1:K3"/>
    <mergeCell ref="L1:L3"/>
    <mergeCell ref="A1:A3"/>
    <mergeCell ref="B1:B3"/>
    <mergeCell ref="F1:F3"/>
    <mergeCell ref="H1:H3"/>
    <mergeCell ref="O4:O9"/>
    <mergeCell ref="P4:P9"/>
    <mergeCell ref="G1:G3"/>
    <mergeCell ref="C1:E3"/>
    <mergeCell ref="M1:M3"/>
    <mergeCell ref="N1:N3"/>
    <mergeCell ref="O1:O3"/>
    <mergeCell ref="P1:P3"/>
    <mergeCell ref="I1:I3"/>
    <mergeCell ref="J1:J3"/>
  </mergeCells>
  <phoneticPr fontId="10"/>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Vejledning beregning ferieløn</vt:lpstr>
      <vt:lpstr>Eksempel-feriefradrag</vt:lpstr>
      <vt:lpstr>Tomt regneark</vt:lpstr>
      <vt:lpstr>Vejledning feriepengeafregning</vt:lpstr>
      <vt:lpstr>afregning af feriepenge</vt:lpstr>
      <vt:lpstr>SH-dage</vt:lpstr>
      <vt:lpstr>'afregning af feriepenge'!Udskriftsområde</vt:lpstr>
      <vt:lpstr>'Eksempel-feriefradrag'!Udskriftsområde</vt:lpstr>
      <vt:lpstr>'Tomt regneark'!Udskriftsområde</vt:lpstr>
      <vt:lpstr>'Vejledning feriepengeafregning'!Udskriftsområde</vt:lpstr>
    </vt:vector>
  </TitlesOfParts>
  <Company>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Mikkelsen</dc:creator>
  <cp:lastModifiedBy>Tove Dohn</cp:lastModifiedBy>
  <cp:lastPrinted>2017-09-14T08:58:28Z</cp:lastPrinted>
  <dcterms:created xsi:type="dcterms:W3CDTF">2008-04-24T08:56:12Z</dcterms:created>
  <dcterms:modified xsi:type="dcterms:W3CDTF">2023-02-02T07:49:28Z</dcterms:modified>
</cp:coreProperties>
</file>