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ate1904="1" autoCompressPictures="0"/>
  <mc:AlternateContent xmlns:mc="http://schemas.openxmlformats.org/markup-compatibility/2006">
    <mc:Choice Requires="x15">
      <x15ac:absPath xmlns:x15ac="http://schemas.microsoft.com/office/spreadsheetml/2010/11/ac" url="/Users/tove/Documents/Kurser/Skoleårets planlægning/2022-2023/PÆD/Vers 2/"/>
    </mc:Choice>
  </mc:AlternateContent>
  <xr:revisionPtr revIDLastSave="0" documentId="8_{8FCD438A-7D2C-5042-A4E5-4B148470FF58}" xr6:coauthVersionLast="47" xr6:coauthVersionMax="47" xr10:uidLastSave="{00000000-0000-0000-0000-000000000000}"/>
  <bookViews>
    <workbookView xWindow="0" yWindow="0" windowWidth="28800" windowHeight="18000" xr2:uid="{00000000-000D-0000-FFFF-FFFF00000000}"/>
  </bookViews>
  <sheets>
    <sheet name="Vejledning" sheetId="3" r:id="rId1"/>
    <sheet name="Maaned" sheetId="12" r:id="rId2"/>
    <sheet name="Aar" sheetId="13" r:id="rId3"/>
    <sheet name="1.halvaar" sheetId="14" r:id="rId4"/>
    <sheet name="2.halvaar" sheetId="15" r:id="rId5"/>
    <sheet name="Stamdata Årsnorm" sheetId="9" r:id="rId6"/>
    <sheet name="Faste arbejdsopgaver" sheetId="1" r:id="rId7"/>
    <sheet name="Samling" sheetId="4" r:id="rId8"/>
    <sheet name="Pasning 2" sheetId="16" state="hidden" r:id="rId9"/>
    <sheet name="Særlige uge 1" sheetId="5" state="hidden" r:id="rId10"/>
    <sheet name="Særlig uge 2" sheetId="6" state="hidden" r:id="rId11"/>
    <sheet name="Særlig uge 3" sheetId="10" state="hidden" r:id="rId12"/>
    <sheet name="Særlig uge 4" sheetId="11" state="hidden" r:id="rId13"/>
    <sheet name="Koloni" sheetId="7" state="hidden" r:id="rId14"/>
    <sheet name="TOMT ÅR" sheetId="26" r:id="rId15"/>
    <sheet name="TOMT 1. HALVÅR" sheetId="27" r:id="rId16"/>
    <sheet name="TOMT 2. HALVÅR" sheetId="28" r:id="rId17"/>
  </sheets>
  <externalReferences>
    <externalReference r:id="rId18"/>
    <externalReference r:id="rId19"/>
  </externalReferences>
  <definedNames>
    <definedName name="_xlnm._FilterDatabase" localSheetId="1" hidden="1">Maaned!$A$1:$CJ$52</definedName>
    <definedName name="april" localSheetId="1">Maaned!$BH$5:$BH$34</definedName>
    <definedName name="April" localSheetId="14">[1]April!$C$9:$C$38</definedName>
    <definedName name="april">[2]Maaned!$AR$5:$AR$34</definedName>
    <definedName name="august" localSheetId="1">Maaned!$D$5:$D$35</definedName>
    <definedName name="AUGUST">[1]August!$C$10:$C$40</definedName>
    <definedName name="base" localSheetId="8">#REF!</definedName>
    <definedName name="base" localSheetId="11">#REF!</definedName>
    <definedName name="base" localSheetId="12">#REF!</definedName>
    <definedName name="base">#REF!</definedName>
    <definedName name="dagapr">[2]Maaned!$AQ$5:$AQ$34</definedName>
    <definedName name="dagaug">[2]Maaned!$C$5:$C$35</definedName>
    <definedName name="dagdec">[2]Maaned!$W$5:$W$35</definedName>
    <definedName name="dagfeb">[2]Maaned!$AG$5:$AG$33</definedName>
    <definedName name="dagjan">[2]Maaned!$AB$5:$AB$35</definedName>
    <definedName name="dagjul">[2]Maaned!$BF$5:$BF$35</definedName>
    <definedName name="dagjun">[2]Maaned!$BA$5:$BA$34</definedName>
    <definedName name="dagmaj">[2]Maaned!$AV$5:$AV$35</definedName>
    <definedName name="dagmar">[2]Maaned!$AL$5:$AL$35</definedName>
    <definedName name="dagnov">[2]Maaned!$R$5:$R$34</definedName>
    <definedName name="dagokt">[2]Maaned!$M$5:$M$35</definedName>
    <definedName name="dagsep">[2]Maaned!$H$5:$H$34</definedName>
    <definedName name="december" localSheetId="1">Maaned!$AF$5:$AF$35</definedName>
    <definedName name="December">[1]December!$C$9:$C$39</definedName>
    <definedName name="februar" localSheetId="1">Maaned!$AT$5:$AT$33</definedName>
    <definedName name="Februar">[1]Februar!$C$9:$C$36</definedName>
    <definedName name="fridageGrå" localSheetId="14">'TOMT ÅR'!fridageGrå</definedName>
    <definedName name="fridageGrå" localSheetId="2">Aar!fridageGrå</definedName>
    <definedName name="fridageGrå">[0]!fridageGrå</definedName>
    <definedName name="januar" localSheetId="1">Maaned!$AM$5:$AM$35</definedName>
    <definedName name="Januar">[1]Januar!$C$9:$C$39</definedName>
    <definedName name="juli" localSheetId="1">Maaned!$CC$5:$CC$35</definedName>
    <definedName name="Juli">[1]Juli!$C$9:$C$39</definedName>
    <definedName name="juni" localSheetId="1">Maaned!$BV$5:$BV$34</definedName>
    <definedName name="Juni">[1]Juni!$C$9:$C$38</definedName>
    <definedName name="maj" localSheetId="1">Maaned!$BO$5:$BO$35</definedName>
    <definedName name="Maj">[1]Maj!$C$9:$C$39</definedName>
    <definedName name="marts" localSheetId="1">Maaned!$BA$5:$BA$35</definedName>
    <definedName name="Marts">[1]Marts!$C$9:$C$39</definedName>
    <definedName name="november" localSheetId="1">Maaned!$Y$5:$Y$34</definedName>
    <definedName name="November">[1]November!$C$9:$C$38</definedName>
    <definedName name="oktober" localSheetId="1">Maaned!$R$5:$R$35</definedName>
    <definedName name="Oktober">[1]Oktober!$C$9:$C$39</definedName>
    <definedName name="omraade" localSheetId="8">#REF!</definedName>
    <definedName name="omraade" localSheetId="11">#REF!</definedName>
    <definedName name="omraade" localSheetId="12">#REF!</definedName>
    <definedName name="omraade">#REF!</definedName>
    <definedName name="september" localSheetId="1">Maaned!$K$5:$K$34</definedName>
    <definedName name="SEPTEMBER">[1]September!$C$9:$C$38</definedName>
    <definedName name="skolenavn" localSheetId="8">#REF!</definedName>
    <definedName name="skolenavn" localSheetId="14">#REF!</definedName>
    <definedName name="skolenavn">#REF!</definedName>
    <definedName name="_xlnm.Print_Area" localSheetId="3">'1.halvaar'!$A$1:$AD$41</definedName>
    <definedName name="_xlnm.Print_Area" localSheetId="4">'2.halvaar'!$A$1:$AD$46</definedName>
    <definedName name="_xlnm.Print_Area" localSheetId="6">'Faste arbejdsopgaver'!$A$1:$CL$36</definedName>
    <definedName name="_xlnm.Print_Area" localSheetId="13">Koloni!$A$2:$AF$31</definedName>
    <definedName name="_xlnm.Print_Area" localSheetId="1">Maaned!$A$1:$CK$54</definedName>
    <definedName name="_xlnm.Print_Area" localSheetId="8">'Pasning 2'!$A$2:$AF$31</definedName>
    <definedName name="_xlnm.Print_Area" localSheetId="7">Samling!$A$1:$G$36</definedName>
    <definedName name="_xlnm.Print_Area" localSheetId="5">'Stamdata Årsnorm'!$A$26:$G$26</definedName>
    <definedName name="_xlnm.Print_Area" localSheetId="10">'Særlig uge 2'!$A$2:$AF$31</definedName>
    <definedName name="_xlnm.Print_Area" localSheetId="11">'Særlig uge 3'!$A$2:$AF$31</definedName>
    <definedName name="_xlnm.Print_Area" localSheetId="12">'Særlig uge 4'!$A$2:$AF$31</definedName>
    <definedName name="_xlnm.Print_Area" localSheetId="9">'Særlige uge 1'!$A$2:$AF$31</definedName>
    <definedName name="_xlnm.Print_Area" localSheetId="2">Aar!$A$1:$AV$37</definedName>
    <definedName name="Ugenr" localSheetId="14">'TOMT ÅR'!Ugenr</definedName>
    <definedName name="Ugenr">[0]!Ugenr</definedName>
    <definedName name="årsnorm">'Stamdata Årsnorm'!#REF!</definedName>
    <definedName name="Årstal" localSheetId="1">1996</definedName>
    <definedName name="Årstal" localSheetId="2">1996</definedName>
    <definedName name="årstal">1997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2" i="1" l="1"/>
  <c r="BU2" i="1"/>
  <c r="BE2" i="1"/>
  <c r="AW2" i="1"/>
  <c r="AG2" i="1"/>
  <c r="AO2" i="1" s="1"/>
  <c r="Y2" i="1"/>
  <c r="Q2" i="1"/>
  <c r="I2" i="1"/>
  <c r="A1" i="28"/>
  <c r="A1" i="27"/>
  <c r="CI103" i="12" l="1"/>
  <c r="CI102" i="12"/>
  <c r="CF103" i="12"/>
  <c r="CF102" i="12"/>
  <c r="BY103" i="12"/>
  <c r="BY102" i="12"/>
  <c r="BR103" i="12"/>
  <c r="BR102" i="12"/>
  <c r="BK103" i="12"/>
  <c r="BK102" i="12"/>
  <c r="BD103" i="12"/>
  <c r="BD102" i="12"/>
  <c r="AW103" i="12"/>
  <c r="AW102" i="12"/>
  <c r="AP103" i="12"/>
  <c r="AP102" i="12"/>
  <c r="AI103" i="12"/>
  <c r="AI102" i="12"/>
  <c r="AB103" i="12"/>
  <c r="AB102" i="12"/>
  <c r="U103" i="12"/>
  <c r="U102" i="12"/>
  <c r="N103" i="12"/>
  <c r="N102" i="12"/>
  <c r="CI101" i="12"/>
  <c r="CI100" i="12"/>
  <c r="CI99" i="12"/>
  <c r="CI98" i="12"/>
  <c r="CI95" i="12"/>
  <c r="CI94" i="12"/>
  <c r="CI93" i="12"/>
  <c r="CI92" i="12"/>
  <c r="CI89" i="12"/>
  <c r="CI88" i="12"/>
  <c r="CI87" i="12"/>
  <c r="CI86" i="12"/>
  <c r="CI83" i="12"/>
  <c r="CI82" i="12"/>
  <c r="CI81" i="12"/>
  <c r="CI80" i="12"/>
  <c r="CI77" i="12"/>
  <c r="CI76" i="12"/>
  <c r="CI75" i="12"/>
  <c r="CI74" i="12"/>
  <c r="CI71" i="12"/>
  <c r="CI70" i="12"/>
  <c r="CI69" i="12"/>
  <c r="CI68" i="12"/>
  <c r="CI65" i="12"/>
  <c r="CI64" i="12"/>
  <c r="CI63" i="12"/>
  <c r="CI62" i="12"/>
  <c r="CI59" i="12"/>
  <c r="CI58" i="12"/>
  <c r="CI57" i="12"/>
  <c r="CI56" i="12"/>
  <c r="CI53" i="12"/>
  <c r="CI52" i="12"/>
  <c r="CI51" i="12"/>
  <c r="CI50" i="12"/>
  <c r="N101" i="12"/>
  <c r="U101" i="12" s="1"/>
  <c r="AB101" i="12" s="1"/>
  <c r="AI101" i="12" s="1"/>
  <c r="AP101" i="12" s="1"/>
  <c r="AW101" i="12" s="1"/>
  <c r="BD101" i="12" s="1"/>
  <c r="BK101" i="12" s="1"/>
  <c r="BR101" i="12" s="1"/>
  <c r="BY101" i="12" s="1"/>
  <c r="CF101" i="12" s="1"/>
  <c r="N100" i="12"/>
  <c r="U100" i="12" s="1"/>
  <c r="AB100" i="12" s="1"/>
  <c r="AI100" i="12" s="1"/>
  <c r="AP100" i="12" s="1"/>
  <c r="AW100" i="12" s="1"/>
  <c r="BD100" i="12" s="1"/>
  <c r="BK100" i="12" s="1"/>
  <c r="BR100" i="12" s="1"/>
  <c r="BY100" i="12" s="1"/>
  <c r="CF100" i="12" s="1"/>
  <c r="N99" i="12"/>
  <c r="U99" i="12" s="1"/>
  <c r="AB99" i="12" s="1"/>
  <c r="AI99" i="12" s="1"/>
  <c r="AP99" i="12" s="1"/>
  <c r="AW99" i="12" s="1"/>
  <c r="BD99" i="12" s="1"/>
  <c r="BK99" i="12" s="1"/>
  <c r="BR99" i="12" s="1"/>
  <c r="BY99" i="12" s="1"/>
  <c r="CF99" i="12" s="1"/>
  <c r="N98" i="12"/>
  <c r="U98" i="12" s="1"/>
  <c r="AB98" i="12" s="1"/>
  <c r="AI98" i="12" s="1"/>
  <c r="AP98" i="12" s="1"/>
  <c r="AW98" i="12" s="1"/>
  <c r="BD98" i="12" s="1"/>
  <c r="BK98" i="12" s="1"/>
  <c r="BR98" i="12" s="1"/>
  <c r="BY98" i="12" s="1"/>
  <c r="CF98" i="12" s="1"/>
  <c r="N97" i="12"/>
  <c r="U97" i="12" s="1"/>
  <c r="AB97" i="12" s="1"/>
  <c r="AI97" i="12" s="1"/>
  <c r="AP97" i="12" s="1"/>
  <c r="AW97" i="12" s="1"/>
  <c r="BD97" i="12" s="1"/>
  <c r="BK97" i="12" s="1"/>
  <c r="BR97" i="12" s="1"/>
  <c r="BY97" i="12" s="1"/>
  <c r="CF97" i="12" s="1"/>
  <c r="CI97" i="12" s="1"/>
  <c r="N67" i="12"/>
  <c r="U67" i="12" s="1"/>
  <c r="AB67" i="12" s="1"/>
  <c r="AI67" i="12" s="1"/>
  <c r="AP67" i="12" s="1"/>
  <c r="AW67" i="12" s="1"/>
  <c r="BD67" i="12" s="1"/>
  <c r="BK67" i="12" s="1"/>
  <c r="BR67" i="12" s="1"/>
  <c r="BY67" i="12" s="1"/>
  <c r="CF67" i="12" s="1"/>
  <c r="CI67" i="12" s="1"/>
  <c r="N71" i="12"/>
  <c r="U71" i="12" s="1"/>
  <c r="AB71" i="12" s="1"/>
  <c r="AI71" i="12" s="1"/>
  <c r="AP71" i="12" s="1"/>
  <c r="AW71" i="12" s="1"/>
  <c r="BD71" i="12" s="1"/>
  <c r="BK71" i="12" s="1"/>
  <c r="BR71" i="12" s="1"/>
  <c r="BY71" i="12" s="1"/>
  <c r="CF71" i="12" s="1"/>
  <c r="N70" i="12"/>
  <c r="U70" i="12" s="1"/>
  <c r="AB70" i="12" s="1"/>
  <c r="AI70" i="12" s="1"/>
  <c r="AP70" i="12" s="1"/>
  <c r="AW70" i="12" s="1"/>
  <c r="BD70" i="12" s="1"/>
  <c r="BK70" i="12" s="1"/>
  <c r="BR70" i="12" s="1"/>
  <c r="BY70" i="12" s="1"/>
  <c r="CF70" i="12" s="1"/>
  <c r="N69" i="12"/>
  <c r="U69" i="12" s="1"/>
  <c r="AB69" i="12" s="1"/>
  <c r="AI69" i="12" s="1"/>
  <c r="AP69" i="12" s="1"/>
  <c r="AW69" i="12" s="1"/>
  <c r="BD69" i="12" s="1"/>
  <c r="BK69" i="12" s="1"/>
  <c r="BR69" i="12" s="1"/>
  <c r="BY69" i="12" s="1"/>
  <c r="CF69" i="12" s="1"/>
  <c r="N68" i="12"/>
  <c r="U68" i="12" s="1"/>
  <c r="AB68" i="12" s="1"/>
  <c r="AI68" i="12" s="1"/>
  <c r="AP68" i="12" s="1"/>
  <c r="AW68" i="12" s="1"/>
  <c r="BD68" i="12" s="1"/>
  <c r="BK68" i="12" s="1"/>
  <c r="BR68" i="12" s="1"/>
  <c r="BY68" i="12" s="1"/>
  <c r="CF68" i="12" s="1"/>
  <c r="N65" i="12"/>
  <c r="U65" i="12" s="1"/>
  <c r="AB65" i="12" s="1"/>
  <c r="AI65" i="12" s="1"/>
  <c r="AP65" i="12" s="1"/>
  <c r="AW65" i="12" s="1"/>
  <c r="BD65" i="12" s="1"/>
  <c r="BK65" i="12" s="1"/>
  <c r="BR65" i="12" s="1"/>
  <c r="BY65" i="12" s="1"/>
  <c r="CF65" i="12" s="1"/>
  <c r="N64" i="12"/>
  <c r="U64" i="12" s="1"/>
  <c r="AB64" i="12" s="1"/>
  <c r="AI64" i="12" s="1"/>
  <c r="AP64" i="12" s="1"/>
  <c r="AW64" i="12" s="1"/>
  <c r="BD64" i="12" s="1"/>
  <c r="BK64" i="12" s="1"/>
  <c r="BR64" i="12" s="1"/>
  <c r="BY64" i="12" s="1"/>
  <c r="CF64" i="12" s="1"/>
  <c r="N63" i="12"/>
  <c r="U63" i="12" s="1"/>
  <c r="AB63" i="12" s="1"/>
  <c r="AI63" i="12" s="1"/>
  <c r="AP63" i="12" s="1"/>
  <c r="AW63" i="12" s="1"/>
  <c r="BD63" i="12" s="1"/>
  <c r="BK63" i="12" s="1"/>
  <c r="BR63" i="12" s="1"/>
  <c r="BY63" i="12" s="1"/>
  <c r="CF63" i="12" s="1"/>
  <c r="N62" i="12"/>
  <c r="U62" i="12" s="1"/>
  <c r="AB62" i="12" s="1"/>
  <c r="AI62" i="12" s="1"/>
  <c r="AP62" i="12" s="1"/>
  <c r="AW62" i="12" s="1"/>
  <c r="BD62" i="12" s="1"/>
  <c r="BK62" i="12" s="1"/>
  <c r="BR62" i="12" s="1"/>
  <c r="BY62" i="12" s="1"/>
  <c r="CF62" i="12" s="1"/>
  <c r="N61" i="12"/>
  <c r="U61" i="12" s="1"/>
  <c r="AB61" i="12" s="1"/>
  <c r="AI61" i="12" s="1"/>
  <c r="AP61" i="12" s="1"/>
  <c r="AW61" i="12" s="1"/>
  <c r="BD61" i="12" s="1"/>
  <c r="BK61" i="12" s="1"/>
  <c r="BR61" i="12" s="1"/>
  <c r="BY61" i="12" s="1"/>
  <c r="CF61" i="12" s="1"/>
  <c r="CI61" i="12" s="1"/>
  <c r="N92" i="12"/>
  <c r="U92" i="12" s="1"/>
  <c r="AB92" i="12" s="1"/>
  <c r="AI92" i="12" s="1"/>
  <c r="AP92" i="12" s="1"/>
  <c r="AW92" i="12" s="1"/>
  <c r="BD92" i="12" s="1"/>
  <c r="BK92" i="12" s="1"/>
  <c r="BR92" i="12" s="1"/>
  <c r="BY92" i="12" s="1"/>
  <c r="CF92" i="12" s="1"/>
  <c r="N93" i="12"/>
  <c r="U93" i="12" s="1"/>
  <c r="AB93" i="12" s="1"/>
  <c r="AI93" i="12" s="1"/>
  <c r="AP93" i="12" s="1"/>
  <c r="AW93" i="12" s="1"/>
  <c r="BD93" i="12" s="1"/>
  <c r="BK93" i="12" s="1"/>
  <c r="BR93" i="12" s="1"/>
  <c r="BY93" i="12" s="1"/>
  <c r="CF93" i="12" s="1"/>
  <c r="N94" i="12"/>
  <c r="U94" i="12" s="1"/>
  <c r="AB94" i="12" s="1"/>
  <c r="AI94" i="12" s="1"/>
  <c r="AP94" i="12" s="1"/>
  <c r="AW94" i="12" s="1"/>
  <c r="BD94" i="12" s="1"/>
  <c r="BK94" i="12" s="1"/>
  <c r="BR94" i="12" s="1"/>
  <c r="BY94" i="12" s="1"/>
  <c r="CF94" i="12" s="1"/>
  <c r="N95" i="12"/>
  <c r="U95" i="12" s="1"/>
  <c r="AB95" i="12" s="1"/>
  <c r="AI95" i="12" s="1"/>
  <c r="AP95" i="12" s="1"/>
  <c r="AW95" i="12" s="1"/>
  <c r="BD95" i="12" s="1"/>
  <c r="BK95" i="12" s="1"/>
  <c r="BR95" i="12" s="1"/>
  <c r="BY95" i="12" s="1"/>
  <c r="CF95" i="12" s="1"/>
  <c r="N91" i="12"/>
  <c r="U91" i="12" s="1"/>
  <c r="AB91" i="12" s="1"/>
  <c r="AI91" i="12" s="1"/>
  <c r="AP91" i="12" s="1"/>
  <c r="AW91" i="12" s="1"/>
  <c r="BD91" i="12" s="1"/>
  <c r="BK91" i="12" s="1"/>
  <c r="BR91" i="12" s="1"/>
  <c r="BY91" i="12" s="1"/>
  <c r="CF91" i="12" s="1"/>
  <c r="CI91" i="12" s="1"/>
  <c r="N86" i="12"/>
  <c r="U86" i="12" s="1"/>
  <c r="AB86" i="12" s="1"/>
  <c r="AI86" i="12" s="1"/>
  <c r="AP86" i="12" s="1"/>
  <c r="AW86" i="12" s="1"/>
  <c r="BD86" i="12" s="1"/>
  <c r="BK86" i="12" s="1"/>
  <c r="BR86" i="12" s="1"/>
  <c r="BY86" i="12" s="1"/>
  <c r="CF86" i="12" s="1"/>
  <c r="N87" i="12"/>
  <c r="U87" i="12" s="1"/>
  <c r="AB87" i="12" s="1"/>
  <c r="AI87" i="12" s="1"/>
  <c r="AP87" i="12" s="1"/>
  <c r="AW87" i="12" s="1"/>
  <c r="BD87" i="12" s="1"/>
  <c r="BK87" i="12" s="1"/>
  <c r="BR87" i="12" s="1"/>
  <c r="BY87" i="12" s="1"/>
  <c r="CF87" i="12" s="1"/>
  <c r="N88" i="12"/>
  <c r="U88" i="12" s="1"/>
  <c r="AB88" i="12" s="1"/>
  <c r="AI88" i="12" s="1"/>
  <c r="AP88" i="12" s="1"/>
  <c r="AW88" i="12" s="1"/>
  <c r="BD88" i="12" s="1"/>
  <c r="BK88" i="12" s="1"/>
  <c r="BR88" i="12" s="1"/>
  <c r="BY88" i="12" s="1"/>
  <c r="CF88" i="12" s="1"/>
  <c r="N89" i="12"/>
  <c r="U89" i="12" s="1"/>
  <c r="AB89" i="12" s="1"/>
  <c r="AI89" i="12" s="1"/>
  <c r="AP89" i="12" s="1"/>
  <c r="AW89" i="12" s="1"/>
  <c r="BD89" i="12" s="1"/>
  <c r="BK89" i="12" s="1"/>
  <c r="BR89" i="12" s="1"/>
  <c r="BY89" i="12" s="1"/>
  <c r="CF89" i="12" s="1"/>
  <c r="N85" i="12"/>
  <c r="U85" i="12" s="1"/>
  <c r="AB85" i="12" s="1"/>
  <c r="AI85" i="12" s="1"/>
  <c r="AP85" i="12" s="1"/>
  <c r="AW85" i="12" s="1"/>
  <c r="BD85" i="12" s="1"/>
  <c r="BK85" i="12" s="1"/>
  <c r="BR85" i="12" s="1"/>
  <c r="BY85" i="12" s="1"/>
  <c r="CF85" i="12" s="1"/>
  <c r="CI85" i="12" s="1"/>
  <c r="N80" i="12"/>
  <c r="U80" i="12" s="1"/>
  <c r="AB80" i="12" s="1"/>
  <c r="AI80" i="12" s="1"/>
  <c r="AP80" i="12" s="1"/>
  <c r="AW80" i="12" s="1"/>
  <c r="BD80" i="12" s="1"/>
  <c r="BK80" i="12" s="1"/>
  <c r="BR80" i="12" s="1"/>
  <c r="BY80" i="12" s="1"/>
  <c r="CF80" i="12" s="1"/>
  <c r="N81" i="12"/>
  <c r="U81" i="12" s="1"/>
  <c r="AB81" i="12" s="1"/>
  <c r="AI81" i="12" s="1"/>
  <c r="AP81" i="12" s="1"/>
  <c r="AW81" i="12" s="1"/>
  <c r="BD81" i="12" s="1"/>
  <c r="BK81" i="12" s="1"/>
  <c r="BR81" i="12" s="1"/>
  <c r="BY81" i="12" s="1"/>
  <c r="CF81" i="12" s="1"/>
  <c r="N82" i="12"/>
  <c r="U82" i="12" s="1"/>
  <c r="AB82" i="12" s="1"/>
  <c r="AI82" i="12" s="1"/>
  <c r="AP82" i="12" s="1"/>
  <c r="AW82" i="12" s="1"/>
  <c r="BD82" i="12" s="1"/>
  <c r="BK82" i="12" s="1"/>
  <c r="BR82" i="12" s="1"/>
  <c r="BY82" i="12" s="1"/>
  <c r="CF82" i="12" s="1"/>
  <c r="N83" i="12"/>
  <c r="U83" i="12" s="1"/>
  <c r="AB83" i="12" s="1"/>
  <c r="AI83" i="12" s="1"/>
  <c r="AP83" i="12" s="1"/>
  <c r="AW83" i="12" s="1"/>
  <c r="BD83" i="12" s="1"/>
  <c r="BK83" i="12" s="1"/>
  <c r="BR83" i="12" s="1"/>
  <c r="BY83" i="12" s="1"/>
  <c r="CF83" i="12" s="1"/>
  <c r="N79" i="12"/>
  <c r="U79" i="12" s="1"/>
  <c r="AB79" i="12" s="1"/>
  <c r="AI79" i="12" s="1"/>
  <c r="AP79" i="12" s="1"/>
  <c r="AW79" i="12" s="1"/>
  <c r="BD79" i="12" s="1"/>
  <c r="BK79" i="12" s="1"/>
  <c r="BR79" i="12" s="1"/>
  <c r="BY79" i="12" s="1"/>
  <c r="CF79" i="12" s="1"/>
  <c r="CI79" i="12" s="1"/>
  <c r="N74" i="12"/>
  <c r="U74" i="12" s="1"/>
  <c r="AB74" i="12" s="1"/>
  <c r="AI74" i="12" s="1"/>
  <c r="AP74" i="12" s="1"/>
  <c r="AW74" i="12" s="1"/>
  <c r="BD74" i="12" s="1"/>
  <c r="BK74" i="12" s="1"/>
  <c r="BR74" i="12" s="1"/>
  <c r="BY74" i="12" s="1"/>
  <c r="CF74" i="12" s="1"/>
  <c r="N75" i="12"/>
  <c r="U75" i="12" s="1"/>
  <c r="AB75" i="12" s="1"/>
  <c r="AI75" i="12" s="1"/>
  <c r="AP75" i="12" s="1"/>
  <c r="AW75" i="12" s="1"/>
  <c r="BD75" i="12" s="1"/>
  <c r="BK75" i="12" s="1"/>
  <c r="BR75" i="12" s="1"/>
  <c r="BY75" i="12" s="1"/>
  <c r="CF75" i="12" s="1"/>
  <c r="N76" i="12"/>
  <c r="U76" i="12" s="1"/>
  <c r="AB76" i="12" s="1"/>
  <c r="AI76" i="12" s="1"/>
  <c r="AP76" i="12" s="1"/>
  <c r="AW76" i="12" s="1"/>
  <c r="BD76" i="12" s="1"/>
  <c r="BK76" i="12" s="1"/>
  <c r="BR76" i="12" s="1"/>
  <c r="BY76" i="12" s="1"/>
  <c r="CF76" i="12" s="1"/>
  <c r="N77" i="12"/>
  <c r="U77" i="12" s="1"/>
  <c r="AB77" i="12" s="1"/>
  <c r="AI77" i="12" s="1"/>
  <c r="AP77" i="12" s="1"/>
  <c r="AW77" i="12" s="1"/>
  <c r="BD77" i="12" s="1"/>
  <c r="BK77" i="12" s="1"/>
  <c r="BR77" i="12" s="1"/>
  <c r="BY77" i="12" s="1"/>
  <c r="CF77" i="12" s="1"/>
  <c r="N73" i="12"/>
  <c r="U73" i="12" s="1"/>
  <c r="AB73" i="12" s="1"/>
  <c r="AI73" i="12" s="1"/>
  <c r="AP73" i="12" s="1"/>
  <c r="AW73" i="12" s="1"/>
  <c r="BD73" i="12" s="1"/>
  <c r="BK73" i="12" s="1"/>
  <c r="BR73" i="12" s="1"/>
  <c r="BY73" i="12" s="1"/>
  <c r="CF73" i="12" s="1"/>
  <c r="CI73" i="12" s="1"/>
  <c r="N56" i="12"/>
  <c r="U56" i="12" s="1"/>
  <c r="AB56" i="12" s="1"/>
  <c r="AI56" i="12" s="1"/>
  <c r="AP56" i="12" s="1"/>
  <c r="AW56" i="12" s="1"/>
  <c r="BD56" i="12" s="1"/>
  <c r="BK56" i="12" s="1"/>
  <c r="BR56" i="12" s="1"/>
  <c r="BY56" i="12" s="1"/>
  <c r="CF56" i="12" s="1"/>
  <c r="N57" i="12"/>
  <c r="U57" i="12" s="1"/>
  <c r="AB57" i="12" s="1"/>
  <c r="AI57" i="12" s="1"/>
  <c r="AP57" i="12" s="1"/>
  <c r="AW57" i="12" s="1"/>
  <c r="BD57" i="12" s="1"/>
  <c r="BK57" i="12" s="1"/>
  <c r="BR57" i="12" s="1"/>
  <c r="BY57" i="12" s="1"/>
  <c r="CF57" i="12" s="1"/>
  <c r="N58" i="12"/>
  <c r="U58" i="12" s="1"/>
  <c r="AB58" i="12" s="1"/>
  <c r="AI58" i="12" s="1"/>
  <c r="AP58" i="12" s="1"/>
  <c r="AW58" i="12" s="1"/>
  <c r="BD58" i="12" s="1"/>
  <c r="BK58" i="12" s="1"/>
  <c r="BR58" i="12" s="1"/>
  <c r="BY58" i="12" s="1"/>
  <c r="CF58" i="12" s="1"/>
  <c r="N59" i="12"/>
  <c r="U59" i="12" s="1"/>
  <c r="AB59" i="12" s="1"/>
  <c r="AI59" i="12" s="1"/>
  <c r="AP59" i="12" s="1"/>
  <c r="AW59" i="12" s="1"/>
  <c r="BD59" i="12" s="1"/>
  <c r="BK59" i="12" s="1"/>
  <c r="BR59" i="12" s="1"/>
  <c r="BY59" i="12" s="1"/>
  <c r="CF59" i="12" s="1"/>
  <c r="N55" i="12"/>
  <c r="U55" i="12" s="1"/>
  <c r="AB55" i="12" s="1"/>
  <c r="AI55" i="12" s="1"/>
  <c r="AP55" i="12" s="1"/>
  <c r="AW55" i="12" s="1"/>
  <c r="BD55" i="12" s="1"/>
  <c r="BK55" i="12" s="1"/>
  <c r="BR55" i="12" s="1"/>
  <c r="BY55" i="12" s="1"/>
  <c r="CF55" i="12" s="1"/>
  <c r="CI55" i="12" s="1"/>
  <c r="N50" i="12"/>
  <c r="U50" i="12" s="1"/>
  <c r="AB50" i="12" s="1"/>
  <c r="AI50" i="12" s="1"/>
  <c r="AP50" i="12" s="1"/>
  <c r="AW50" i="12" s="1"/>
  <c r="BD50" i="12" s="1"/>
  <c r="BK50" i="12" s="1"/>
  <c r="BR50" i="12" s="1"/>
  <c r="BY50" i="12" s="1"/>
  <c r="CF50" i="12" s="1"/>
  <c r="N51" i="12"/>
  <c r="U51" i="12" s="1"/>
  <c r="AB51" i="12" s="1"/>
  <c r="AI51" i="12" s="1"/>
  <c r="AP51" i="12" s="1"/>
  <c r="AW51" i="12" s="1"/>
  <c r="BD51" i="12" s="1"/>
  <c r="BK51" i="12" s="1"/>
  <c r="BR51" i="12" s="1"/>
  <c r="BY51" i="12" s="1"/>
  <c r="CF51" i="12" s="1"/>
  <c r="N52" i="12"/>
  <c r="U52" i="12" s="1"/>
  <c r="AB52" i="12" s="1"/>
  <c r="AI52" i="12" s="1"/>
  <c r="AP52" i="12" s="1"/>
  <c r="AW52" i="12" s="1"/>
  <c r="BD52" i="12" s="1"/>
  <c r="BK52" i="12" s="1"/>
  <c r="BR52" i="12" s="1"/>
  <c r="BY52" i="12" s="1"/>
  <c r="CF52" i="12" s="1"/>
  <c r="N53" i="12"/>
  <c r="U53" i="12" s="1"/>
  <c r="AB53" i="12" s="1"/>
  <c r="AI53" i="12" s="1"/>
  <c r="AP53" i="12" s="1"/>
  <c r="AW53" i="12" s="1"/>
  <c r="BD53" i="12" s="1"/>
  <c r="BK53" i="12" s="1"/>
  <c r="BR53" i="12" s="1"/>
  <c r="BY53" i="12" s="1"/>
  <c r="CF53" i="12" s="1"/>
  <c r="N49" i="12"/>
  <c r="U49" i="12" s="1"/>
  <c r="AB49" i="12" s="1"/>
  <c r="AI49" i="12" s="1"/>
  <c r="AP49" i="12" s="1"/>
  <c r="AW49" i="12" s="1"/>
  <c r="BD49" i="12" s="1"/>
  <c r="BK49" i="12" s="1"/>
  <c r="BR49" i="12" s="1"/>
  <c r="BY49" i="12" s="1"/>
  <c r="CF49" i="12" s="1"/>
  <c r="CI49" i="12" s="1"/>
  <c r="BX33" i="1"/>
  <c r="BX35" i="1" s="1"/>
  <c r="BP33" i="1"/>
  <c r="BP35" i="1" s="1"/>
  <c r="BW7" i="1"/>
  <c r="BV8" i="1" s="1"/>
  <c r="BW8" i="1" s="1"/>
  <c r="BV9" i="1" s="1"/>
  <c r="BW9" i="1" s="1"/>
  <c r="BV10" i="1" s="1"/>
  <c r="BW10" i="1" s="1"/>
  <c r="BV11" i="1" s="1"/>
  <c r="BW11" i="1" s="1"/>
  <c r="BV12" i="1" s="1"/>
  <c r="BW12" i="1" s="1"/>
  <c r="BV13" i="1" s="1"/>
  <c r="BW13" i="1" s="1"/>
  <c r="BV14" i="1" s="1"/>
  <c r="BW14" i="1" s="1"/>
  <c r="BV15" i="1" s="1"/>
  <c r="BW15" i="1" s="1"/>
  <c r="BV16" i="1" s="1"/>
  <c r="BW16" i="1" s="1"/>
  <c r="BV17" i="1" s="1"/>
  <c r="BW17" i="1" s="1"/>
  <c r="BV18" i="1" s="1"/>
  <c r="BW18" i="1" s="1"/>
  <c r="BV19" i="1" s="1"/>
  <c r="BW19" i="1" s="1"/>
  <c r="BV20" i="1" s="1"/>
  <c r="BW20" i="1" s="1"/>
  <c r="BV21" i="1" s="1"/>
  <c r="BW21" i="1" s="1"/>
  <c r="BV22" i="1" s="1"/>
  <c r="BW22" i="1" s="1"/>
  <c r="BV23" i="1" s="1"/>
  <c r="BW23" i="1" s="1"/>
  <c r="BV24" i="1" s="1"/>
  <c r="BW24" i="1" s="1"/>
  <c r="BV25" i="1" s="1"/>
  <c r="BW25" i="1" s="1"/>
  <c r="BV26" i="1" s="1"/>
  <c r="BW26" i="1" s="1"/>
  <c r="BV27" i="1" s="1"/>
  <c r="BW27" i="1" s="1"/>
  <c r="BV28" i="1" s="1"/>
  <c r="BW28" i="1" s="1"/>
  <c r="BV29" i="1" s="1"/>
  <c r="BW29" i="1" s="1"/>
  <c r="BV30" i="1" s="1"/>
  <c r="BW30" i="1" s="1"/>
  <c r="BV31" i="1" s="1"/>
  <c r="BW31" i="1" s="1"/>
  <c r="BV32" i="1" s="1"/>
  <c r="BW32" i="1" s="1"/>
  <c r="BO7" i="1"/>
  <c r="BN8" i="1" s="1"/>
  <c r="BO8" i="1" s="1"/>
  <c r="BN9" i="1" s="1"/>
  <c r="BO9" i="1" s="1"/>
  <c r="BN10" i="1" s="1"/>
  <c r="BO10" i="1" s="1"/>
  <c r="BN11" i="1" s="1"/>
  <c r="BO11" i="1" s="1"/>
  <c r="BN12" i="1" s="1"/>
  <c r="BO12" i="1" s="1"/>
  <c r="BN13" i="1" s="1"/>
  <c r="BO13" i="1" s="1"/>
  <c r="BN14" i="1" s="1"/>
  <c r="BO14" i="1" s="1"/>
  <c r="BN15" i="1" s="1"/>
  <c r="BO15" i="1" s="1"/>
  <c r="BN16" i="1" s="1"/>
  <c r="BO16" i="1" s="1"/>
  <c r="BN17" i="1" s="1"/>
  <c r="BO17" i="1" s="1"/>
  <c r="BN18" i="1" s="1"/>
  <c r="BO18" i="1" s="1"/>
  <c r="BN19" i="1" s="1"/>
  <c r="BO19" i="1" s="1"/>
  <c r="BN20" i="1" s="1"/>
  <c r="BO20" i="1" s="1"/>
  <c r="BN21" i="1" s="1"/>
  <c r="BO21" i="1" s="1"/>
  <c r="BN22" i="1" s="1"/>
  <c r="BO22" i="1" s="1"/>
  <c r="BN23" i="1" s="1"/>
  <c r="BO23" i="1" s="1"/>
  <c r="BN24" i="1" s="1"/>
  <c r="BO24" i="1" s="1"/>
  <c r="BN25" i="1" s="1"/>
  <c r="BO25" i="1" s="1"/>
  <c r="BN26" i="1" s="1"/>
  <c r="BO26" i="1" s="1"/>
  <c r="BN27" i="1" s="1"/>
  <c r="BO27" i="1" s="1"/>
  <c r="BN28" i="1" s="1"/>
  <c r="BO28" i="1" s="1"/>
  <c r="BN29" i="1" s="1"/>
  <c r="BO29" i="1" s="1"/>
  <c r="BN30" i="1" s="1"/>
  <c r="BO30" i="1" s="1"/>
  <c r="BN31" i="1" s="1"/>
  <c r="BO31" i="1" s="1"/>
  <c r="BN32" i="1" s="1"/>
  <c r="BO32" i="1" s="1"/>
  <c r="BH33" i="1"/>
  <c r="BH35" i="1" s="1"/>
  <c r="BG7" i="1"/>
  <c r="BF8" i="1" s="1"/>
  <c r="BG8" i="1" s="1"/>
  <c r="BF9" i="1" s="1"/>
  <c r="BG9" i="1" s="1"/>
  <c r="BF10" i="1" s="1"/>
  <c r="BG10" i="1" s="1"/>
  <c r="BF11" i="1" s="1"/>
  <c r="BG11" i="1" s="1"/>
  <c r="BF12" i="1" s="1"/>
  <c r="BG12" i="1" s="1"/>
  <c r="BF13" i="1" s="1"/>
  <c r="BG13" i="1" s="1"/>
  <c r="BF14" i="1" s="1"/>
  <c r="BG14" i="1" s="1"/>
  <c r="BF15" i="1" s="1"/>
  <c r="BG15" i="1" s="1"/>
  <c r="BF16" i="1" s="1"/>
  <c r="BG16" i="1" s="1"/>
  <c r="BF17" i="1" s="1"/>
  <c r="BG17" i="1" s="1"/>
  <c r="BF18" i="1" s="1"/>
  <c r="BG18" i="1" s="1"/>
  <c r="BF19" i="1" s="1"/>
  <c r="BG19" i="1" s="1"/>
  <c r="BF20" i="1" s="1"/>
  <c r="BG20" i="1" s="1"/>
  <c r="BF21" i="1" s="1"/>
  <c r="BG21" i="1" s="1"/>
  <c r="BF22" i="1" s="1"/>
  <c r="BG22" i="1" s="1"/>
  <c r="BF23" i="1" s="1"/>
  <c r="BG23" i="1" s="1"/>
  <c r="BF24" i="1" s="1"/>
  <c r="BG24" i="1" s="1"/>
  <c r="BF25" i="1" s="1"/>
  <c r="BG25" i="1" s="1"/>
  <c r="BF26" i="1" s="1"/>
  <c r="BG26" i="1" s="1"/>
  <c r="BF27" i="1" s="1"/>
  <c r="BG27" i="1" s="1"/>
  <c r="BF28" i="1" s="1"/>
  <c r="BG28" i="1" s="1"/>
  <c r="BF29" i="1" s="1"/>
  <c r="BG29" i="1" s="1"/>
  <c r="BF30" i="1" s="1"/>
  <c r="BG30" i="1" s="1"/>
  <c r="BF31" i="1" s="1"/>
  <c r="BG31" i="1" s="1"/>
  <c r="BF32" i="1" s="1"/>
  <c r="BG32" i="1" s="1"/>
  <c r="AZ33" i="1"/>
  <c r="AZ35" i="1" s="1"/>
  <c r="AY7" i="1"/>
  <c r="AX8" i="1" s="1"/>
  <c r="AY8" i="1" s="1"/>
  <c r="AX9" i="1" s="1"/>
  <c r="AY9" i="1" s="1"/>
  <c r="AX10" i="1" s="1"/>
  <c r="AY10" i="1" s="1"/>
  <c r="AX11" i="1" s="1"/>
  <c r="AY11" i="1" s="1"/>
  <c r="AX12" i="1" s="1"/>
  <c r="AY12" i="1" s="1"/>
  <c r="AX13" i="1" s="1"/>
  <c r="AY13" i="1" s="1"/>
  <c r="AX14" i="1" s="1"/>
  <c r="AY14" i="1" s="1"/>
  <c r="AX15" i="1" s="1"/>
  <c r="AY15" i="1" s="1"/>
  <c r="AX16" i="1" s="1"/>
  <c r="AY16" i="1" s="1"/>
  <c r="AX17" i="1" s="1"/>
  <c r="AY17" i="1" s="1"/>
  <c r="AX18" i="1" s="1"/>
  <c r="AY18" i="1" s="1"/>
  <c r="AX19" i="1" s="1"/>
  <c r="AY19" i="1" s="1"/>
  <c r="AX20" i="1" s="1"/>
  <c r="AY20" i="1" s="1"/>
  <c r="AX21" i="1" s="1"/>
  <c r="AY21" i="1" s="1"/>
  <c r="AX22" i="1" s="1"/>
  <c r="AY22" i="1" s="1"/>
  <c r="AX23" i="1" s="1"/>
  <c r="AY23" i="1" s="1"/>
  <c r="AX24" i="1" s="1"/>
  <c r="AY24" i="1" s="1"/>
  <c r="AX25" i="1" s="1"/>
  <c r="AY25" i="1" s="1"/>
  <c r="AX26" i="1" s="1"/>
  <c r="AY26" i="1" s="1"/>
  <c r="AX27" i="1" s="1"/>
  <c r="AY27" i="1" s="1"/>
  <c r="AX28" i="1" s="1"/>
  <c r="AY28" i="1" s="1"/>
  <c r="AX29" i="1" s="1"/>
  <c r="AY29" i="1" s="1"/>
  <c r="AX30" i="1" s="1"/>
  <c r="AY30" i="1" s="1"/>
  <c r="AX31" i="1" s="1"/>
  <c r="AY31" i="1" s="1"/>
  <c r="AX32" i="1" s="1"/>
  <c r="AY32" i="1" s="1"/>
  <c r="G4" i="13"/>
  <c r="G3" i="13"/>
  <c r="AU37" i="12" l="1"/>
  <c r="CD37" i="12"/>
  <c r="CD54" i="12"/>
  <c r="CD53" i="12"/>
  <c r="CD52" i="12"/>
  <c r="CD51" i="12"/>
  <c r="CD50" i="12"/>
  <c r="CD49" i="12"/>
  <c r="CD48" i="12"/>
  <c r="CD47" i="12"/>
  <c r="CD46" i="12"/>
  <c r="CD45" i="12"/>
  <c r="CD44" i="12"/>
  <c r="CD43" i="12"/>
  <c r="CD42" i="12"/>
  <c r="CD41" i="12"/>
  <c r="CD40" i="12"/>
  <c r="CD39" i="12"/>
  <c r="CD38" i="12"/>
  <c r="BW37" i="12"/>
  <c r="BW54" i="12"/>
  <c r="BW53" i="12"/>
  <c r="BW52" i="12"/>
  <c r="BW51" i="12"/>
  <c r="BW50" i="12"/>
  <c r="BW49" i="12"/>
  <c r="BW48" i="12"/>
  <c r="BW47" i="12"/>
  <c r="BW46" i="12"/>
  <c r="BW45" i="12"/>
  <c r="BW44" i="12"/>
  <c r="BW43" i="12"/>
  <c r="BW42" i="12"/>
  <c r="BW41" i="12"/>
  <c r="BW40" i="12"/>
  <c r="BW39" i="12"/>
  <c r="BW38" i="12"/>
  <c r="BP37" i="12"/>
  <c r="BP54" i="12"/>
  <c r="BP53" i="12"/>
  <c r="BP52" i="12"/>
  <c r="BP51" i="12"/>
  <c r="BP50" i="12"/>
  <c r="BP49" i="12"/>
  <c r="BP48" i="12"/>
  <c r="BP47" i="12"/>
  <c r="BP46" i="12"/>
  <c r="BP45" i="12"/>
  <c r="BP44" i="12"/>
  <c r="BP43" i="12"/>
  <c r="BP42" i="12"/>
  <c r="BP41" i="12"/>
  <c r="BP40" i="12"/>
  <c r="BP39" i="12"/>
  <c r="BP38" i="12"/>
  <c r="BI37" i="12"/>
  <c r="BI54" i="12"/>
  <c r="BI53" i="12"/>
  <c r="BI52" i="12"/>
  <c r="BI51" i="12"/>
  <c r="BI50" i="12"/>
  <c r="BI49" i="12"/>
  <c r="BI48" i="12"/>
  <c r="BI47" i="12"/>
  <c r="BI46" i="12"/>
  <c r="BI45" i="12"/>
  <c r="BI44" i="12"/>
  <c r="BI43" i="12"/>
  <c r="BI42" i="12"/>
  <c r="BI41" i="12"/>
  <c r="BI40" i="12"/>
  <c r="BI39" i="12"/>
  <c r="BI38" i="12"/>
  <c r="BB37" i="12"/>
  <c r="BB54" i="12"/>
  <c r="BB53" i="12"/>
  <c r="BB52" i="12"/>
  <c r="BB51" i="12"/>
  <c r="BB50" i="12"/>
  <c r="BB49" i="12"/>
  <c r="BB48" i="12"/>
  <c r="BB47" i="12"/>
  <c r="BB46" i="12"/>
  <c r="BB45" i="12"/>
  <c r="BB44" i="12"/>
  <c r="BB43" i="12"/>
  <c r="BB42" i="12"/>
  <c r="BB41" i="12"/>
  <c r="BB40" i="12"/>
  <c r="BB39" i="12"/>
  <c r="BB38" i="12"/>
  <c r="AU54" i="12"/>
  <c r="AU53" i="12"/>
  <c r="AU52" i="12"/>
  <c r="AU51" i="12"/>
  <c r="AU50" i="12"/>
  <c r="AU49" i="12"/>
  <c r="AU48" i="12"/>
  <c r="AU47" i="12"/>
  <c r="AU46" i="12"/>
  <c r="AU45" i="12"/>
  <c r="AU44" i="12"/>
  <c r="AU43" i="12"/>
  <c r="AU42" i="12"/>
  <c r="AU41" i="12"/>
  <c r="AU40" i="12"/>
  <c r="AU39" i="12"/>
  <c r="AU38" i="12"/>
  <c r="AN37" i="12"/>
  <c r="AN54" i="12"/>
  <c r="AN53" i="12"/>
  <c r="AN52" i="12"/>
  <c r="AN51" i="12"/>
  <c r="AN50" i="12"/>
  <c r="AN49" i="12"/>
  <c r="AN48" i="12"/>
  <c r="AN47" i="12"/>
  <c r="AN46" i="12"/>
  <c r="AN45" i="12"/>
  <c r="AN44" i="12"/>
  <c r="AN43" i="12"/>
  <c r="AN42" i="12"/>
  <c r="AN41" i="12"/>
  <c r="AN40" i="12"/>
  <c r="AN39" i="12"/>
  <c r="AN38" i="12"/>
  <c r="AG37" i="12"/>
  <c r="AG54" i="12"/>
  <c r="AG53" i="12"/>
  <c r="AG52" i="12"/>
  <c r="AG51" i="12"/>
  <c r="AG50" i="12"/>
  <c r="AG49" i="12"/>
  <c r="AG48" i="12"/>
  <c r="AG47" i="12"/>
  <c r="AG46" i="12"/>
  <c r="AG45" i="12"/>
  <c r="AG44" i="12"/>
  <c r="AG43" i="12"/>
  <c r="AG42" i="12"/>
  <c r="AG41" i="12"/>
  <c r="AG40" i="12"/>
  <c r="AG39" i="12"/>
  <c r="AG38" i="12"/>
  <c r="Z37" i="12"/>
  <c r="Z54" i="12"/>
  <c r="Z53" i="12"/>
  <c r="Z52" i="12"/>
  <c r="Z51" i="12"/>
  <c r="Z50" i="12"/>
  <c r="Z49" i="12"/>
  <c r="Z48" i="12"/>
  <c r="Z47" i="12"/>
  <c r="Z46" i="12"/>
  <c r="Z45" i="12"/>
  <c r="Z44" i="12"/>
  <c r="Z43" i="12"/>
  <c r="Z42" i="12"/>
  <c r="Z41" i="12"/>
  <c r="Z40" i="12"/>
  <c r="Z39" i="12"/>
  <c r="Z38" i="12"/>
  <c r="S37" i="12"/>
  <c r="S54" i="12"/>
  <c r="S53" i="12"/>
  <c r="S52" i="12"/>
  <c r="S51" i="12"/>
  <c r="S50" i="12"/>
  <c r="S49" i="12"/>
  <c r="S48" i="12"/>
  <c r="S47" i="12"/>
  <c r="S46" i="12"/>
  <c r="S45" i="12"/>
  <c r="S44" i="12"/>
  <c r="S43" i="12"/>
  <c r="S42" i="12"/>
  <c r="S41" i="12"/>
  <c r="S40" i="12"/>
  <c r="S39" i="12"/>
  <c r="S38" i="12"/>
  <c r="CA38" i="12"/>
  <c r="CA37" i="12"/>
  <c r="BT38" i="12"/>
  <c r="BT37" i="12"/>
  <c r="BM38" i="12"/>
  <c r="BM37" i="12"/>
  <c r="BF38" i="12"/>
  <c r="BF37" i="12"/>
  <c r="AY38" i="12"/>
  <c r="AY37" i="12"/>
  <c r="AR38" i="12"/>
  <c r="AR37" i="12"/>
  <c r="AK38" i="12"/>
  <c r="AK37" i="12"/>
  <c r="AD38" i="12"/>
  <c r="AD37" i="12"/>
  <c r="W38" i="12"/>
  <c r="W37" i="12"/>
  <c r="P38" i="12"/>
  <c r="P37" i="12"/>
  <c r="L54" i="12"/>
  <c r="L53" i="12"/>
  <c r="L52" i="12"/>
  <c r="L51" i="12"/>
  <c r="L50" i="12"/>
  <c r="L49" i="12"/>
  <c r="L48" i="12"/>
  <c r="L47" i="12"/>
  <c r="L42" i="12"/>
  <c r="L41" i="12"/>
  <c r="L40" i="12"/>
  <c r="L39" i="12"/>
  <c r="L38" i="12"/>
  <c r="L37" i="12"/>
  <c r="L46" i="12"/>
  <c r="L45" i="12"/>
  <c r="L44" i="12"/>
  <c r="L43" i="12"/>
  <c r="I38" i="12"/>
  <c r="I37" i="12"/>
  <c r="E46" i="12"/>
  <c r="E45" i="12"/>
  <c r="E44" i="12"/>
  <c r="E43" i="12"/>
  <c r="I5" i="12"/>
  <c r="I6" i="12" s="1"/>
  <c r="I7" i="12" s="1"/>
  <c r="I8" i="12" s="1"/>
  <c r="CJ23" i="12" l="1"/>
  <c r="CJ24" i="12"/>
  <c r="CJ25" i="12"/>
  <c r="CJ26" i="12"/>
  <c r="BI55" i="12"/>
  <c r="AN55" i="12"/>
  <c r="BP55" i="12"/>
  <c r="AG55" i="12"/>
  <c r="S55" i="12"/>
  <c r="AU55" i="12"/>
  <c r="BW55" i="12"/>
  <c r="Z55" i="12"/>
  <c r="BB55" i="12"/>
  <c r="CD55" i="12"/>
  <c r="L55" i="12"/>
  <c r="I9" i="12"/>
  <c r="AC4" i="14"/>
  <c r="AC5" i="14"/>
  <c r="AC6" i="14"/>
  <c r="AC7" i="14"/>
  <c r="AC8" i="14"/>
  <c r="AC9" i="14"/>
  <c r="AC10" i="14"/>
  <c r="AC11" i="14"/>
  <c r="AC12" i="14"/>
  <c r="AC13" i="14"/>
  <c r="AC14" i="14"/>
  <c r="AC15" i="14"/>
  <c r="AC16" i="14"/>
  <c r="AC17" i="14"/>
  <c r="AC18" i="14"/>
  <c r="AC19" i="14"/>
  <c r="AC20" i="14"/>
  <c r="AC21" i="14"/>
  <c r="AC22" i="14"/>
  <c r="AC23" i="14"/>
  <c r="AC24" i="14"/>
  <c r="AC25" i="14"/>
  <c r="AC26" i="14"/>
  <c r="AC27" i="14"/>
  <c r="AC28" i="14"/>
  <c r="AC29" i="14"/>
  <c r="AC30" i="14"/>
  <c r="AC31" i="14"/>
  <c r="AC32" i="14"/>
  <c r="AC33" i="14"/>
  <c r="AC3" i="14"/>
  <c r="I10" i="12" l="1"/>
  <c r="A40" i="15"/>
  <c r="A38" i="15"/>
  <c r="I11" i="12" l="1"/>
  <c r="AA7" i="1"/>
  <c r="I12" i="12" l="1"/>
  <c r="CE7" i="1"/>
  <c r="CD8" i="1" s="1"/>
  <c r="CE8" i="1" s="1"/>
  <c r="CD9" i="1" s="1"/>
  <c r="CE9" i="1" s="1"/>
  <c r="CD10" i="1" s="1"/>
  <c r="CE10" i="1" s="1"/>
  <c r="CD11" i="1" s="1"/>
  <c r="CE11" i="1" s="1"/>
  <c r="CD12" i="1" s="1"/>
  <c r="CE12" i="1" s="1"/>
  <c r="CD13" i="1" s="1"/>
  <c r="CE13" i="1" s="1"/>
  <c r="CD14" i="1" s="1"/>
  <c r="CE14" i="1" s="1"/>
  <c r="CD15" i="1" s="1"/>
  <c r="CE15" i="1" s="1"/>
  <c r="CD16" i="1" s="1"/>
  <c r="CE16" i="1" s="1"/>
  <c r="CD17" i="1" s="1"/>
  <c r="CE17" i="1" s="1"/>
  <c r="CD18" i="1" s="1"/>
  <c r="CE18" i="1" s="1"/>
  <c r="CD19" i="1" s="1"/>
  <c r="CE19" i="1" s="1"/>
  <c r="CD20" i="1" s="1"/>
  <c r="CE20" i="1" s="1"/>
  <c r="CD21" i="1" s="1"/>
  <c r="CE21" i="1" s="1"/>
  <c r="CD22" i="1" s="1"/>
  <c r="CE22" i="1" s="1"/>
  <c r="CD23" i="1" s="1"/>
  <c r="CE23" i="1" s="1"/>
  <c r="CD24" i="1" s="1"/>
  <c r="CE24" i="1" s="1"/>
  <c r="CD25" i="1" s="1"/>
  <c r="CE25" i="1" s="1"/>
  <c r="CD26" i="1" s="1"/>
  <c r="CE26" i="1" s="1"/>
  <c r="CD27" i="1" s="1"/>
  <c r="CE27" i="1" s="1"/>
  <c r="CD28" i="1" s="1"/>
  <c r="CE28" i="1" s="1"/>
  <c r="CD29" i="1" s="1"/>
  <c r="CE29" i="1" s="1"/>
  <c r="CD30" i="1" s="1"/>
  <c r="CE30" i="1" s="1"/>
  <c r="CD31" i="1" s="1"/>
  <c r="CE31" i="1" s="1"/>
  <c r="CD32" i="1" s="1"/>
  <c r="CE32" i="1" s="1"/>
  <c r="AQ7" i="1"/>
  <c r="AP8" i="1" s="1"/>
  <c r="AQ8" i="1" s="1"/>
  <c r="AP9" i="1" s="1"/>
  <c r="AQ9" i="1" s="1"/>
  <c r="AP10" i="1" s="1"/>
  <c r="AQ10" i="1" s="1"/>
  <c r="AP11" i="1" s="1"/>
  <c r="AQ11" i="1" s="1"/>
  <c r="AP12" i="1" s="1"/>
  <c r="AQ12" i="1" s="1"/>
  <c r="AP13" i="1" s="1"/>
  <c r="AQ13" i="1" s="1"/>
  <c r="AP14" i="1" s="1"/>
  <c r="AQ14" i="1" s="1"/>
  <c r="AP15" i="1" s="1"/>
  <c r="AQ15" i="1" s="1"/>
  <c r="AP16" i="1" s="1"/>
  <c r="AQ16" i="1" s="1"/>
  <c r="AP17" i="1" s="1"/>
  <c r="AQ17" i="1" s="1"/>
  <c r="AP18" i="1" s="1"/>
  <c r="AQ18" i="1" s="1"/>
  <c r="AP19" i="1" s="1"/>
  <c r="AQ19" i="1" s="1"/>
  <c r="AP20" i="1" s="1"/>
  <c r="AQ20" i="1" s="1"/>
  <c r="AP21" i="1" s="1"/>
  <c r="AQ21" i="1" s="1"/>
  <c r="AP22" i="1" s="1"/>
  <c r="AQ22" i="1" s="1"/>
  <c r="AP23" i="1" s="1"/>
  <c r="AQ23" i="1" s="1"/>
  <c r="AP24" i="1" s="1"/>
  <c r="AQ24" i="1" s="1"/>
  <c r="AP25" i="1" s="1"/>
  <c r="AQ25" i="1" s="1"/>
  <c r="AP26" i="1" s="1"/>
  <c r="AQ26" i="1" s="1"/>
  <c r="AP27" i="1" s="1"/>
  <c r="AQ27" i="1" s="1"/>
  <c r="AP28" i="1" s="1"/>
  <c r="AQ28" i="1" s="1"/>
  <c r="AP29" i="1" s="1"/>
  <c r="AQ29" i="1" s="1"/>
  <c r="AP30" i="1" s="1"/>
  <c r="AQ30" i="1" s="1"/>
  <c r="AP31" i="1" s="1"/>
  <c r="AQ31" i="1" s="1"/>
  <c r="AP32" i="1" s="1"/>
  <c r="AQ32" i="1" s="1"/>
  <c r="AI7" i="1"/>
  <c r="AH8" i="1" s="1"/>
  <c r="AI8" i="1" s="1"/>
  <c r="AH9" i="1" s="1"/>
  <c r="AI9" i="1" s="1"/>
  <c r="AH10" i="1" s="1"/>
  <c r="AI10" i="1" s="1"/>
  <c r="AH11" i="1" s="1"/>
  <c r="AI11" i="1" s="1"/>
  <c r="AH12" i="1" s="1"/>
  <c r="AI12" i="1" s="1"/>
  <c r="AH13" i="1" s="1"/>
  <c r="AI13" i="1" s="1"/>
  <c r="AH14" i="1" s="1"/>
  <c r="AI14" i="1" s="1"/>
  <c r="AH15" i="1" s="1"/>
  <c r="AI15" i="1" s="1"/>
  <c r="AH16" i="1" s="1"/>
  <c r="AI16" i="1" s="1"/>
  <c r="AH17" i="1" s="1"/>
  <c r="AI17" i="1" s="1"/>
  <c r="AH18" i="1" s="1"/>
  <c r="AI18" i="1" s="1"/>
  <c r="AH19" i="1" s="1"/>
  <c r="AI19" i="1" s="1"/>
  <c r="AH20" i="1" s="1"/>
  <c r="AI20" i="1" s="1"/>
  <c r="AH21" i="1" s="1"/>
  <c r="AI21" i="1" s="1"/>
  <c r="AH22" i="1" s="1"/>
  <c r="AI22" i="1" s="1"/>
  <c r="AH23" i="1" s="1"/>
  <c r="AI23" i="1" s="1"/>
  <c r="AH24" i="1" s="1"/>
  <c r="AI24" i="1" s="1"/>
  <c r="AH25" i="1" s="1"/>
  <c r="AI25" i="1" s="1"/>
  <c r="AH26" i="1" s="1"/>
  <c r="AI26" i="1" s="1"/>
  <c r="AH27" i="1" s="1"/>
  <c r="AI27" i="1" s="1"/>
  <c r="AH28" i="1" s="1"/>
  <c r="AI28" i="1" s="1"/>
  <c r="AH29" i="1" s="1"/>
  <c r="AI29" i="1" s="1"/>
  <c r="AH30" i="1" s="1"/>
  <c r="AI30" i="1" s="1"/>
  <c r="AH31" i="1" s="1"/>
  <c r="AI31" i="1" s="1"/>
  <c r="AH32" i="1" s="1"/>
  <c r="AI32" i="1" s="1"/>
  <c r="Z8" i="1"/>
  <c r="AA8" i="1" s="1"/>
  <c r="Z9" i="1" s="1"/>
  <c r="AA9" i="1" s="1"/>
  <c r="Z10" i="1" s="1"/>
  <c r="AA10" i="1" s="1"/>
  <c r="Z11" i="1" s="1"/>
  <c r="AA11" i="1" s="1"/>
  <c r="Z12" i="1" s="1"/>
  <c r="AA12" i="1" s="1"/>
  <c r="Z13" i="1" s="1"/>
  <c r="AA13" i="1" s="1"/>
  <c r="Z14" i="1" s="1"/>
  <c r="AA14" i="1" s="1"/>
  <c r="Z15" i="1" s="1"/>
  <c r="AA15" i="1" s="1"/>
  <c r="Z16" i="1" s="1"/>
  <c r="AA16" i="1" s="1"/>
  <c r="Z17" i="1" s="1"/>
  <c r="AA17" i="1" s="1"/>
  <c r="Z18" i="1" s="1"/>
  <c r="AA18" i="1" s="1"/>
  <c r="Z19" i="1" s="1"/>
  <c r="AA19" i="1" s="1"/>
  <c r="Z20" i="1" s="1"/>
  <c r="AA20" i="1" s="1"/>
  <c r="Z21" i="1" s="1"/>
  <c r="AA21" i="1" s="1"/>
  <c r="Z22" i="1" s="1"/>
  <c r="AA22" i="1" s="1"/>
  <c r="Z23" i="1" s="1"/>
  <c r="AA23" i="1" s="1"/>
  <c r="Z24" i="1" s="1"/>
  <c r="AA24" i="1" s="1"/>
  <c r="Z25" i="1" s="1"/>
  <c r="AA25" i="1" s="1"/>
  <c r="Z26" i="1" s="1"/>
  <c r="AA26" i="1" s="1"/>
  <c r="Z27" i="1" s="1"/>
  <c r="AA27" i="1" s="1"/>
  <c r="Z28" i="1" s="1"/>
  <c r="AA28" i="1" s="1"/>
  <c r="Z29" i="1" s="1"/>
  <c r="AA29" i="1" s="1"/>
  <c r="Z30" i="1" s="1"/>
  <c r="AA30" i="1" s="1"/>
  <c r="Z31" i="1" s="1"/>
  <c r="AA31" i="1" s="1"/>
  <c r="Z32" i="1" s="1"/>
  <c r="AA32" i="1" s="1"/>
  <c r="S7" i="1"/>
  <c r="R8" i="1" s="1"/>
  <c r="S8" i="1" s="1"/>
  <c r="R9" i="1" s="1"/>
  <c r="S9" i="1" s="1"/>
  <c r="R10" i="1" s="1"/>
  <c r="S10" i="1" s="1"/>
  <c r="R11" i="1" s="1"/>
  <c r="S11" i="1" s="1"/>
  <c r="R12" i="1" s="1"/>
  <c r="S12" i="1" s="1"/>
  <c r="R13" i="1" s="1"/>
  <c r="S13" i="1" s="1"/>
  <c r="R14" i="1" s="1"/>
  <c r="S14" i="1" s="1"/>
  <c r="R15" i="1" s="1"/>
  <c r="S15" i="1" s="1"/>
  <c r="R16" i="1" s="1"/>
  <c r="S16" i="1" s="1"/>
  <c r="R17" i="1" s="1"/>
  <c r="S17" i="1" s="1"/>
  <c r="R18" i="1" s="1"/>
  <c r="S18" i="1" s="1"/>
  <c r="R19" i="1" s="1"/>
  <c r="S19" i="1" s="1"/>
  <c r="R20" i="1" s="1"/>
  <c r="S20" i="1" s="1"/>
  <c r="R21" i="1" s="1"/>
  <c r="S21" i="1" s="1"/>
  <c r="R22" i="1" s="1"/>
  <c r="S22" i="1" s="1"/>
  <c r="R23" i="1" s="1"/>
  <c r="S23" i="1" s="1"/>
  <c r="R24" i="1" s="1"/>
  <c r="S24" i="1" s="1"/>
  <c r="R25" i="1" s="1"/>
  <c r="S25" i="1" s="1"/>
  <c r="R26" i="1" s="1"/>
  <c r="S26" i="1" s="1"/>
  <c r="R27" i="1" s="1"/>
  <c r="S27" i="1" s="1"/>
  <c r="R28" i="1" s="1"/>
  <c r="S28" i="1" s="1"/>
  <c r="R29" i="1" s="1"/>
  <c r="S29" i="1" s="1"/>
  <c r="R30" i="1" s="1"/>
  <c r="S30" i="1" s="1"/>
  <c r="R31" i="1" s="1"/>
  <c r="S31" i="1" s="1"/>
  <c r="R32" i="1" s="1"/>
  <c r="S32" i="1" s="1"/>
  <c r="K7" i="1"/>
  <c r="J8" i="1" s="1"/>
  <c r="K8" i="1" s="1"/>
  <c r="C7" i="1"/>
  <c r="H29" i="4"/>
  <c r="H16" i="4"/>
  <c r="I4" i="14"/>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 i="14"/>
  <c r="I13" i="12" l="1"/>
  <c r="A15" i="4"/>
  <c r="J9" i="1"/>
  <c r="K9" i="1" s="1"/>
  <c r="J10" i="1" s="1"/>
  <c r="K10" i="1" s="1"/>
  <c r="J11" i="1" s="1"/>
  <c r="K11" i="1" s="1"/>
  <c r="J12" i="1" s="1"/>
  <c r="K12" i="1" s="1"/>
  <c r="J13" i="1" s="1"/>
  <c r="K13" i="1" s="1"/>
  <c r="J14" i="1" s="1"/>
  <c r="K14" i="1" s="1"/>
  <c r="J15" i="1" s="1"/>
  <c r="K15" i="1" s="1"/>
  <c r="J16" i="1" s="1"/>
  <c r="K16" i="1" s="1"/>
  <c r="J17" i="1" s="1"/>
  <c r="K17" i="1" s="1"/>
  <c r="J18" i="1" s="1"/>
  <c r="K18" i="1" s="1"/>
  <c r="J19" i="1" s="1"/>
  <c r="K19" i="1" s="1"/>
  <c r="J20" i="1" s="1"/>
  <c r="K20" i="1" s="1"/>
  <c r="J21" i="1" s="1"/>
  <c r="K21" i="1" s="1"/>
  <c r="J22" i="1" s="1"/>
  <c r="K22" i="1" s="1"/>
  <c r="J23" i="1" s="1"/>
  <c r="K23" i="1" s="1"/>
  <c r="J24" i="1" s="1"/>
  <c r="K24" i="1" s="1"/>
  <c r="J25" i="1" s="1"/>
  <c r="K25" i="1" s="1"/>
  <c r="J26" i="1" s="1"/>
  <c r="K26" i="1" s="1"/>
  <c r="J27" i="1" s="1"/>
  <c r="K27" i="1" s="1"/>
  <c r="J28" i="1" s="1"/>
  <c r="K28" i="1" s="1"/>
  <c r="J29" i="1" s="1"/>
  <c r="K29" i="1" s="1"/>
  <c r="J30" i="1" s="1"/>
  <c r="K30" i="1" s="1"/>
  <c r="J31" i="1" s="1"/>
  <c r="K31" i="1" s="1"/>
  <c r="J32" i="1" s="1"/>
  <c r="K32" i="1" s="1"/>
  <c r="B8" i="1"/>
  <c r="I14" i="12" l="1"/>
  <c r="C8" i="1"/>
  <c r="B9" i="1" s="1"/>
  <c r="C9" i="1" s="1"/>
  <c r="C3" i="14"/>
  <c r="E38" i="12"/>
  <c r="E37" i="12"/>
  <c r="CJ17" i="12" s="1"/>
  <c r="I15" i="12" l="1"/>
  <c r="G30" i="4"/>
  <c r="A12" i="4"/>
  <c r="A16" i="4" s="1"/>
  <c r="A2" i="4"/>
  <c r="D2" i="4"/>
  <c r="D3" i="4"/>
  <c r="D4" i="4"/>
  <c r="D8" i="4"/>
  <c r="F7" i="4"/>
  <c r="D7" i="4"/>
  <c r="I35" i="1"/>
  <c r="Q35" i="1" s="1"/>
  <c r="Y35" i="1" s="1"/>
  <c r="AG35" i="1" s="1"/>
  <c r="AO35" i="1" s="1"/>
  <c r="T6" i="1"/>
  <c r="AB6" i="1" s="1"/>
  <c r="AJ6" i="1" s="1"/>
  <c r="AR6" i="1" s="1"/>
  <c r="D6" i="1"/>
  <c r="CF6" i="1" l="1"/>
  <c r="AZ6" i="1"/>
  <c r="BH6" i="1" s="1"/>
  <c r="BP6" i="1" s="1"/>
  <c r="BX6" i="1" s="1"/>
  <c r="CC35" i="1"/>
  <c r="AW35" i="1"/>
  <c r="BE35" i="1" s="1"/>
  <c r="BM35" i="1" s="1"/>
  <c r="BU35" i="1" s="1"/>
  <c r="I16" i="12"/>
  <c r="A9" i="4"/>
  <c r="CC33" i="1"/>
  <c r="AR33" i="1"/>
  <c r="AR35" i="1" s="1"/>
  <c r="AJ33" i="1"/>
  <c r="AJ35" i="1" s="1"/>
  <c r="AB33" i="1"/>
  <c r="AB35" i="1" s="1"/>
  <c r="T33" i="1"/>
  <c r="T35" i="1" s="1"/>
  <c r="L33" i="1"/>
  <c r="L35" i="1" s="1"/>
  <c r="D33" i="1"/>
  <c r="D35" i="1" s="1"/>
  <c r="A34" i="1"/>
  <c r="CF35" i="1"/>
  <c r="CF33" i="1"/>
  <c r="I17" i="12" l="1"/>
  <c r="I34" i="1"/>
  <c r="Q34" i="1" s="1"/>
  <c r="I18" i="12" l="1"/>
  <c r="I36" i="1"/>
  <c r="I19" i="12" l="1"/>
  <c r="Y34" i="1"/>
  <c r="Y36" i="1" s="1"/>
  <c r="Q36" i="1"/>
  <c r="I20" i="12" l="1"/>
  <c r="AG34" i="1"/>
  <c r="AG36" i="1" s="1"/>
  <c r="I21" i="12" l="1"/>
  <c r="AO34" i="1"/>
  <c r="CC34" i="1" l="1"/>
  <c r="CC36" i="1" s="1"/>
  <c r="AW34" i="1"/>
  <c r="I22" i="12"/>
  <c r="AO36" i="1"/>
  <c r="AW36" i="1" l="1"/>
  <c r="BE34" i="1"/>
  <c r="I23" i="12"/>
  <c r="H13" i="9"/>
  <c r="A27" i="9"/>
  <c r="F22" i="9"/>
  <c r="F23" i="9"/>
  <c r="F24" i="9"/>
  <c r="F21" i="9"/>
  <c r="D25" i="9"/>
  <c r="F25" i="9" s="1"/>
  <c r="F27" i="9" s="1"/>
  <c r="D9" i="4" s="1"/>
  <c r="BE36" i="1" l="1"/>
  <c r="BM34" i="1"/>
  <c r="I24" i="12"/>
  <c r="AF47" i="11"/>
  <c r="Z47" i="11"/>
  <c r="T47" i="11"/>
  <c r="N47" i="11"/>
  <c r="AG47" i="11" s="1"/>
  <c r="H47" i="11"/>
  <c r="AE46" i="11"/>
  <c r="Y46" i="11"/>
  <c r="S46" i="11"/>
  <c r="M46" i="11"/>
  <c r="G46" i="11"/>
  <c r="AD45" i="11"/>
  <c r="X45" i="11"/>
  <c r="Z48" i="11" s="1"/>
  <c r="R45" i="11"/>
  <c r="L45" i="11"/>
  <c r="F45" i="11"/>
  <c r="AC44" i="11"/>
  <c r="AF48" i="11" s="1"/>
  <c r="W44" i="11"/>
  <c r="Q44" i="11"/>
  <c r="K44" i="11"/>
  <c r="E44" i="11"/>
  <c r="H48" i="11" s="1"/>
  <c r="AB43" i="11"/>
  <c r="V43" i="11"/>
  <c r="P43" i="11"/>
  <c r="J43" i="11"/>
  <c r="AG43" i="11" s="1"/>
  <c r="D43" i="11"/>
  <c r="AA42" i="11"/>
  <c r="U42" i="11"/>
  <c r="O42" i="11"/>
  <c r="AG42" i="11" s="1"/>
  <c r="I42" i="11"/>
  <c r="C42" i="11"/>
  <c r="AF47" i="10"/>
  <c r="Z47" i="10"/>
  <c r="AG47" i="10" s="1"/>
  <c r="T47" i="10"/>
  <c r="N47" i="10"/>
  <c r="H47" i="10"/>
  <c r="AE46" i="10"/>
  <c r="Y46" i="10"/>
  <c r="S46" i="10"/>
  <c r="M46" i="10"/>
  <c r="G46" i="10"/>
  <c r="AD45" i="10"/>
  <c r="X45" i="10"/>
  <c r="R45" i="10"/>
  <c r="L45" i="10"/>
  <c r="AG45" i="10" s="1"/>
  <c r="F45" i="10"/>
  <c r="AC44" i="10"/>
  <c r="W44" i="10"/>
  <c r="Q44" i="10"/>
  <c r="T48" i="10" s="1"/>
  <c r="K44" i="10"/>
  <c r="E44" i="10"/>
  <c r="AB43" i="10"/>
  <c r="V43" i="10"/>
  <c r="AG43" i="10" s="1"/>
  <c r="P43" i="10"/>
  <c r="J43" i="10"/>
  <c r="D43" i="10"/>
  <c r="AA42" i="10"/>
  <c r="AF48" i="10" s="1"/>
  <c r="U42" i="10"/>
  <c r="O42" i="10"/>
  <c r="I42" i="10"/>
  <c r="C42" i="10"/>
  <c r="H48" i="10" s="1"/>
  <c r="AF47" i="6"/>
  <c r="Z47" i="6"/>
  <c r="T47" i="6"/>
  <c r="N47" i="6"/>
  <c r="AG47" i="6" s="1"/>
  <c r="H47" i="6"/>
  <c r="AE46" i="6"/>
  <c r="Y46" i="6"/>
  <c r="S46" i="6"/>
  <c r="M46" i="6"/>
  <c r="G46" i="6"/>
  <c r="AD45" i="6"/>
  <c r="X45" i="6"/>
  <c r="AG45" i="6" s="1"/>
  <c r="R45" i="6"/>
  <c r="L45" i="6"/>
  <c r="F45" i="6"/>
  <c r="AC44" i="6"/>
  <c r="W44" i="6"/>
  <c r="Q44" i="6"/>
  <c r="K44" i="6"/>
  <c r="E44" i="6"/>
  <c r="AG44" i="6" s="1"/>
  <c r="AB43" i="6"/>
  <c r="V43" i="6"/>
  <c r="P43" i="6"/>
  <c r="J43" i="6"/>
  <c r="AG43" i="6" s="1"/>
  <c r="D43" i="6"/>
  <c r="AA42" i="6"/>
  <c r="U42" i="6"/>
  <c r="O42" i="6"/>
  <c r="I42" i="6"/>
  <c r="C42" i="6"/>
  <c r="AF47" i="5"/>
  <c r="Z47" i="5"/>
  <c r="AG47" i="5" s="1"/>
  <c r="T47" i="5"/>
  <c r="N47" i="5"/>
  <c r="H47" i="5"/>
  <c r="AE46" i="5"/>
  <c r="Y46" i="5"/>
  <c r="S46" i="5"/>
  <c r="M46" i="5"/>
  <c r="G46" i="5"/>
  <c r="AD45" i="5"/>
  <c r="X45" i="5"/>
  <c r="R45" i="5"/>
  <c r="L45" i="5"/>
  <c r="AG45" i="5" s="1"/>
  <c r="F45" i="5"/>
  <c r="AC44" i="5"/>
  <c r="W44" i="5"/>
  <c r="Q44" i="5"/>
  <c r="AG44" i="5" s="1"/>
  <c r="K44" i="5"/>
  <c r="E44" i="5"/>
  <c r="AB43" i="5"/>
  <c r="V43" i="5"/>
  <c r="P43" i="5"/>
  <c r="J43" i="5"/>
  <c r="D43" i="5"/>
  <c r="AA42" i="5"/>
  <c r="U42" i="5"/>
  <c r="O42" i="5"/>
  <c r="I42" i="5"/>
  <c r="C42" i="5"/>
  <c r="AG42" i="5" s="1"/>
  <c r="E39" i="12"/>
  <c r="E40" i="12"/>
  <c r="CJ20" i="12" s="1"/>
  <c r="E41" i="12"/>
  <c r="CJ21" i="12" s="1"/>
  <c r="E42" i="12"/>
  <c r="CJ22" i="12" s="1"/>
  <c r="E47" i="12"/>
  <c r="CJ27" i="12" s="1"/>
  <c r="E48" i="12"/>
  <c r="CJ28" i="12" s="1"/>
  <c r="E49" i="12"/>
  <c r="CJ29" i="12" s="1"/>
  <c r="E50" i="12"/>
  <c r="CJ30" i="12" s="1"/>
  <c r="E51" i="12"/>
  <c r="CJ31" i="12" s="1"/>
  <c r="E52" i="12"/>
  <c r="CJ32" i="12" s="1"/>
  <c r="E53" i="12"/>
  <c r="CJ33" i="12" s="1"/>
  <c r="H47" i="7"/>
  <c r="N47" i="7"/>
  <c r="T47" i="7"/>
  <c r="Z47" i="7"/>
  <c r="AF47" i="7"/>
  <c r="G46" i="7"/>
  <c r="M46" i="7"/>
  <c r="S46" i="7"/>
  <c r="Y46" i="7"/>
  <c r="AE46" i="7"/>
  <c r="F45" i="7"/>
  <c r="L45" i="7"/>
  <c r="R45" i="7"/>
  <c r="X45" i="7"/>
  <c r="AG45" i="7" s="1"/>
  <c r="AD45" i="7"/>
  <c r="E44" i="7"/>
  <c r="K44" i="7"/>
  <c r="Q44" i="7"/>
  <c r="W44" i="7"/>
  <c r="AC44" i="7"/>
  <c r="D43" i="7"/>
  <c r="J43" i="7"/>
  <c r="P43" i="7"/>
  <c r="V43" i="7"/>
  <c r="AB43" i="7"/>
  <c r="C42" i="7"/>
  <c r="I42" i="7"/>
  <c r="O42" i="7"/>
  <c r="U42" i="7"/>
  <c r="AA42" i="7"/>
  <c r="H38" i="7"/>
  <c r="N38" i="7"/>
  <c r="T38" i="7"/>
  <c r="Z38" i="7"/>
  <c r="AF38" i="7"/>
  <c r="G37" i="7"/>
  <c r="M37" i="7"/>
  <c r="S37" i="7"/>
  <c r="Y37" i="7"/>
  <c r="AE37" i="7"/>
  <c r="F36" i="7"/>
  <c r="L36" i="7"/>
  <c r="R36" i="7"/>
  <c r="X36" i="7"/>
  <c r="AD36" i="7"/>
  <c r="E35" i="7"/>
  <c r="K35" i="7"/>
  <c r="Q35" i="7"/>
  <c r="W35" i="7"/>
  <c r="AC35" i="7"/>
  <c r="D34" i="7"/>
  <c r="J34" i="7"/>
  <c r="P34" i="7"/>
  <c r="V34" i="7"/>
  <c r="AB34" i="7"/>
  <c r="AG34" i="7"/>
  <c r="C33" i="7"/>
  <c r="I33" i="7"/>
  <c r="O33" i="7"/>
  <c r="U33" i="7"/>
  <c r="AA33" i="7"/>
  <c r="AG44" i="11"/>
  <c r="H38" i="11"/>
  <c r="N38" i="11"/>
  <c r="T38" i="11"/>
  <c r="Z38" i="11"/>
  <c r="AF38" i="11"/>
  <c r="G37" i="11"/>
  <c r="M37" i="11"/>
  <c r="S37" i="11"/>
  <c r="Y37" i="11"/>
  <c r="AE37" i="11"/>
  <c r="F36" i="11"/>
  <c r="L36" i="11"/>
  <c r="R36" i="11"/>
  <c r="X36" i="11"/>
  <c r="AD36" i="11"/>
  <c r="E35" i="11"/>
  <c r="K35" i="11"/>
  <c r="Q35" i="11"/>
  <c r="W35" i="11"/>
  <c r="AC35" i="11"/>
  <c r="D34" i="11"/>
  <c r="J34" i="11"/>
  <c r="P34" i="11"/>
  <c r="V34" i="11"/>
  <c r="AB34" i="11"/>
  <c r="C33" i="11"/>
  <c r="I33" i="11"/>
  <c r="O33" i="11"/>
  <c r="U33" i="11"/>
  <c r="AG33" i="11" s="1"/>
  <c r="AA33" i="11"/>
  <c r="AG46" i="10"/>
  <c r="AG42" i="10"/>
  <c r="H38" i="10"/>
  <c r="N38" i="10"/>
  <c r="T38" i="10"/>
  <c r="Z38" i="10"/>
  <c r="AF38" i="10"/>
  <c r="G37" i="10"/>
  <c r="M37" i="10"/>
  <c r="S37" i="10"/>
  <c r="AG37" i="10" s="1"/>
  <c r="Y37" i="10"/>
  <c r="AE37" i="10"/>
  <c r="F36" i="10"/>
  <c r="L36" i="10"/>
  <c r="R36" i="10"/>
  <c r="X36" i="10"/>
  <c r="AD36" i="10"/>
  <c r="D34" i="10"/>
  <c r="J34" i="10"/>
  <c r="P34" i="10"/>
  <c r="V34" i="10"/>
  <c r="AB34" i="10"/>
  <c r="C33" i="10"/>
  <c r="I33" i="10"/>
  <c r="O33" i="10"/>
  <c r="U33" i="10"/>
  <c r="AA33" i="10"/>
  <c r="AG46" i="6"/>
  <c r="AG42" i="6"/>
  <c r="AG43" i="5"/>
  <c r="H38" i="5"/>
  <c r="N38" i="5"/>
  <c r="T38" i="5"/>
  <c r="Z38" i="5"/>
  <c r="AF38" i="5"/>
  <c r="G37" i="5"/>
  <c r="M37" i="5"/>
  <c r="S37" i="5"/>
  <c r="Y37" i="5"/>
  <c r="AE37" i="5"/>
  <c r="F36" i="5"/>
  <c r="L36" i="5"/>
  <c r="R36" i="5"/>
  <c r="X36" i="5"/>
  <c r="AD36" i="5"/>
  <c r="E35" i="5"/>
  <c r="K35" i="5"/>
  <c r="Q35" i="5"/>
  <c r="W35" i="5"/>
  <c r="AG35" i="5" s="1"/>
  <c r="AC35" i="5"/>
  <c r="D34" i="5"/>
  <c r="J34" i="5"/>
  <c r="P34" i="5"/>
  <c r="V34" i="5"/>
  <c r="AB34" i="5"/>
  <c r="C33" i="5"/>
  <c r="I33" i="5"/>
  <c r="O33" i="5"/>
  <c r="U33" i="5"/>
  <c r="AA33" i="5"/>
  <c r="AA32" i="7"/>
  <c r="AA41" i="7" s="1"/>
  <c r="U32" i="7"/>
  <c r="U41" i="7" s="1"/>
  <c r="O32" i="7"/>
  <c r="O41" i="7" s="1"/>
  <c r="I32" i="7"/>
  <c r="I41" i="7"/>
  <c r="C32" i="7"/>
  <c r="C41" i="7" s="1"/>
  <c r="T39" i="7"/>
  <c r="A33" i="7"/>
  <c r="A42" i="7" s="1"/>
  <c r="T48" i="7"/>
  <c r="A38" i="7"/>
  <c r="Z3" i="7" s="1"/>
  <c r="A37" i="7"/>
  <c r="A46" i="7" s="1"/>
  <c r="A36" i="7"/>
  <c r="A45" i="7" s="1"/>
  <c r="A35" i="7"/>
  <c r="A44" i="7" s="1"/>
  <c r="A34" i="7"/>
  <c r="AB3" i="7" s="1"/>
  <c r="AA3" i="7"/>
  <c r="U3" i="7"/>
  <c r="F3" i="7"/>
  <c r="X3" i="7"/>
  <c r="R3" i="7"/>
  <c r="L3" i="7"/>
  <c r="AG46" i="11"/>
  <c r="N48" i="11"/>
  <c r="A38" i="11"/>
  <c r="Z3" i="11" s="1"/>
  <c r="A37" i="11"/>
  <c r="A46" i="11" s="1"/>
  <c r="A36" i="11"/>
  <c r="AD3" i="11" s="1"/>
  <c r="A35" i="11"/>
  <c r="A44" i="11" s="1"/>
  <c r="A34" i="11"/>
  <c r="V3" i="11" s="1"/>
  <c r="A33" i="11"/>
  <c r="A42" i="11" s="1"/>
  <c r="AA32" i="11"/>
  <c r="AA41" i="11" s="1"/>
  <c r="U32" i="11"/>
  <c r="U41" i="11" s="1"/>
  <c r="O32" i="11"/>
  <c r="O41" i="11" s="1"/>
  <c r="I32" i="11"/>
  <c r="I41" i="11" s="1"/>
  <c r="C32" i="11"/>
  <c r="C41" i="11" s="1"/>
  <c r="A38" i="10"/>
  <c r="A47" i="10" s="1"/>
  <c r="A37" i="10"/>
  <c r="A46" i="10" s="1"/>
  <c r="A36" i="10"/>
  <c r="A45" i="10" s="1"/>
  <c r="A35" i="10"/>
  <c r="A44" i="10" s="1"/>
  <c r="A34" i="10"/>
  <c r="AB3" i="10" s="1"/>
  <c r="A33" i="10"/>
  <c r="AA3" i="10" s="1"/>
  <c r="A38" i="6"/>
  <c r="A47" i="6" s="1"/>
  <c r="A37" i="6"/>
  <c r="G3" i="6" s="1"/>
  <c r="A36" i="6"/>
  <c r="A45" i="6" s="1"/>
  <c r="A35" i="6"/>
  <c r="W3" i="6" s="1"/>
  <c r="A34" i="6"/>
  <c r="A43" i="6" s="1"/>
  <c r="A33" i="6"/>
  <c r="AA3" i="6" s="1"/>
  <c r="Z48" i="10"/>
  <c r="AA32" i="10"/>
  <c r="AA41" i="10" s="1"/>
  <c r="U32" i="10"/>
  <c r="U41" i="10" s="1"/>
  <c r="O32" i="10"/>
  <c r="O41" i="10" s="1"/>
  <c r="I32" i="10"/>
  <c r="I41" i="10" s="1"/>
  <c r="C32" i="10"/>
  <c r="C41" i="10" s="1"/>
  <c r="E35" i="10"/>
  <c r="K35" i="10"/>
  <c r="Q35" i="10"/>
  <c r="W35" i="10"/>
  <c r="AC35" i="10"/>
  <c r="AA32" i="6"/>
  <c r="AA41" i="6" s="1"/>
  <c r="U32" i="6"/>
  <c r="U41" i="6" s="1"/>
  <c r="O32" i="6"/>
  <c r="O41" i="6" s="1"/>
  <c r="I32" i="6"/>
  <c r="I41" i="6" s="1"/>
  <c r="C32" i="6"/>
  <c r="C41" i="6" s="1"/>
  <c r="AF38" i="6"/>
  <c r="Z38" i="6"/>
  <c r="T38" i="6"/>
  <c r="N38" i="6"/>
  <c r="AE37" i="6"/>
  <c r="AG37" i="6" s="1"/>
  <c r="Y37" i="6"/>
  <c r="S37" i="6"/>
  <c r="M37" i="6"/>
  <c r="AD36" i="6"/>
  <c r="X36" i="6"/>
  <c r="R36" i="6"/>
  <c r="L36" i="6"/>
  <c r="AC35" i="6"/>
  <c r="W35" i="6"/>
  <c r="Q35" i="6"/>
  <c r="K35" i="6"/>
  <c r="AB34" i="6"/>
  <c r="V34" i="6"/>
  <c r="P34" i="6"/>
  <c r="J34" i="6"/>
  <c r="AA33" i="6"/>
  <c r="AF39" i="6" s="1"/>
  <c r="U33" i="6"/>
  <c r="O33" i="6"/>
  <c r="I33" i="6"/>
  <c r="C33" i="6"/>
  <c r="AG33" i="6" s="1"/>
  <c r="H38" i="6"/>
  <c r="G37" i="6"/>
  <c r="F36" i="6"/>
  <c r="E35" i="6"/>
  <c r="D34" i="6"/>
  <c r="C3" i="6"/>
  <c r="AF48" i="6"/>
  <c r="Z48" i="6"/>
  <c r="T48" i="6"/>
  <c r="H48" i="6"/>
  <c r="Z39" i="6"/>
  <c r="T39" i="6"/>
  <c r="N39" i="6"/>
  <c r="B1" i="16"/>
  <c r="B3" i="12"/>
  <c r="I3" i="12" s="1"/>
  <c r="CA5" i="12"/>
  <c r="CA6" i="12" s="1"/>
  <c r="CA7" i="12" s="1"/>
  <c r="CA8" i="12" s="1"/>
  <c r="BT5" i="12"/>
  <c r="AO3" i="13" s="1"/>
  <c r="BM5" i="12"/>
  <c r="BM6" i="12" s="1"/>
  <c r="BM7" i="12" s="1"/>
  <c r="BM8" i="12" s="1"/>
  <c r="BM9" i="12" s="1"/>
  <c r="BM10" i="12" s="1"/>
  <c r="AK8" i="13" s="1"/>
  <c r="BF5" i="12"/>
  <c r="BF6" i="12" s="1"/>
  <c r="AG4" i="13" s="1"/>
  <c r="AY5" i="12"/>
  <c r="AY6" i="12" s="1"/>
  <c r="AC4" i="13" s="1"/>
  <c r="AR5" i="12"/>
  <c r="AR6" i="12" s="1"/>
  <c r="A4" i="15" s="1"/>
  <c r="B5" i="12"/>
  <c r="B6" i="12" s="1"/>
  <c r="A4" i="13" s="1"/>
  <c r="AD5" i="12"/>
  <c r="AD6" i="12" s="1"/>
  <c r="W5" i="12"/>
  <c r="P3" i="14" s="1"/>
  <c r="P5" i="12"/>
  <c r="K3" i="14" s="1"/>
  <c r="F3" i="14"/>
  <c r="AK5" i="12"/>
  <c r="AK6" i="12" s="1"/>
  <c r="E54" i="12"/>
  <c r="CJ34" i="12" s="1"/>
  <c r="G46" i="15"/>
  <c r="A46" i="15"/>
  <c r="CI47" i="12"/>
  <c r="I45" i="13" s="1"/>
  <c r="CI41" i="12"/>
  <c r="A45" i="15" s="1"/>
  <c r="CI46" i="12"/>
  <c r="I44" i="13" s="1"/>
  <c r="CI40" i="12"/>
  <c r="A44" i="15" s="1"/>
  <c r="CI45" i="12"/>
  <c r="I43" i="13" s="1"/>
  <c r="CI39" i="12"/>
  <c r="CI44" i="12"/>
  <c r="I42" i="13" s="1"/>
  <c r="CI38" i="12"/>
  <c r="A42" i="13" s="1"/>
  <c r="AB4" i="15"/>
  <c r="AB5" i="15"/>
  <c r="AB6" i="15"/>
  <c r="AB7" i="15"/>
  <c r="AB8" i="15"/>
  <c r="AB9" i="15"/>
  <c r="AB10" i="15"/>
  <c r="AB11" i="15"/>
  <c r="AB12" i="15"/>
  <c r="AB13" i="15"/>
  <c r="AB14" i="15"/>
  <c r="AB15" i="15"/>
  <c r="AB16" i="15"/>
  <c r="AB17" i="15"/>
  <c r="AB18" i="15"/>
  <c r="AB19" i="15"/>
  <c r="AB20" i="15"/>
  <c r="AB21" i="15"/>
  <c r="AB22" i="15"/>
  <c r="AB23" i="15"/>
  <c r="AB24" i="15"/>
  <c r="AB25" i="15"/>
  <c r="AB26" i="15"/>
  <c r="AB27" i="15"/>
  <c r="AB28" i="15"/>
  <c r="AB29" i="15"/>
  <c r="AB30" i="15"/>
  <c r="AB31" i="15"/>
  <c r="AB32" i="15"/>
  <c r="AB33" i="15"/>
  <c r="AB3" i="15"/>
  <c r="W4" i="15"/>
  <c r="W5" i="15"/>
  <c r="W6" i="15"/>
  <c r="W7" i="15"/>
  <c r="W8" i="15"/>
  <c r="W9" i="15"/>
  <c r="W10" i="15"/>
  <c r="W11" i="15"/>
  <c r="W12" i="15"/>
  <c r="W13" i="15"/>
  <c r="W14" i="15"/>
  <c r="W15" i="15"/>
  <c r="W16" i="15"/>
  <c r="W17" i="15"/>
  <c r="W18" i="15"/>
  <c r="W19" i="15"/>
  <c r="W20" i="15"/>
  <c r="W21" i="15"/>
  <c r="W22" i="15"/>
  <c r="W23" i="15"/>
  <c r="W24" i="15"/>
  <c r="W25" i="15"/>
  <c r="W26" i="15"/>
  <c r="W27" i="15"/>
  <c r="W28" i="15"/>
  <c r="W29" i="15"/>
  <c r="W30" i="15"/>
  <c r="W31" i="15"/>
  <c r="W32" i="15"/>
  <c r="W3"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R5" i="15"/>
  <c r="R4" i="15"/>
  <c r="R3" i="15"/>
  <c r="M4" i="15"/>
  <c r="M5" i="15"/>
  <c r="M6" i="15"/>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 i="15"/>
  <c r="H3"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D3" i="15"/>
  <c r="A42" i="14"/>
  <c r="CI43" i="12"/>
  <c r="G41" i="14" s="1"/>
  <c r="CI37" i="12"/>
  <c r="A41" i="14" s="1"/>
  <c r="AB4" i="14"/>
  <c r="AB5" i="14"/>
  <c r="AB6" i="14"/>
  <c r="AB7" i="14"/>
  <c r="AB8" i="14"/>
  <c r="AB9" i="14"/>
  <c r="AB10" i="14"/>
  <c r="AB11" i="14"/>
  <c r="AB12" i="14"/>
  <c r="AB13" i="14"/>
  <c r="AB14" i="14"/>
  <c r="AB15" i="14"/>
  <c r="AB16" i="14"/>
  <c r="AB17" i="14"/>
  <c r="AB18" i="14"/>
  <c r="AB19" i="14"/>
  <c r="AB20" i="14"/>
  <c r="AB21" i="14"/>
  <c r="AB22" i="14"/>
  <c r="AB23" i="14"/>
  <c r="AB24" i="14"/>
  <c r="AB25" i="14"/>
  <c r="AB26" i="14"/>
  <c r="AB27" i="14"/>
  <c r="AB28" i="14"/>
  <c r="AB29" i="14"/>
  <c r="AB30" i="14"/>
  <c r="AB31" i="14"/>
  <c r="AB32" i="14"/>
  <c r="AB33" i="14"/>
  <c r="AB3" i="14"/>
  <c r="W4" i="14"/>
  <c r="X4" i="14"/>
  <c r="W5" i="14"/>
  <c r="X5" i="14"/>
  <c r="W6" i="14"/>
  <c r="X6" i="14"/>
  <c r="W7" i="14"/>
  <c r="X7" i="14"/>
  <c r="W8" i="14"/>
  <c r="X8" i="14"/>
  <c r="W9" i="14"/>
  <c r="X9" i="14"/>
  <c r="W10" i="14"/>
  <c r="X10" i="14"/>
  <c r="W11" i="14"/>
  <c r="X11" i="14"/>
  <c r="W12" i="14"/>
  <c r="X12" i="14"/>
  <c r="W13" i="14"/>
  <c r="X13" i="14"/>
  <c r="W14" i="14"/>
  <c r="X14" i="14"/>
  <c r="W15" i="14"/>
  <c r="X15" i="14"/>
  <c r="W16" i="14"/>
  <c r="X16" i="14"/>
  <c r="W17" i="14"/>
  <c r="X17" i="14"/>
  <c r="W18" i="14"/>
  <c r="X18" i="14"/>
  <c r="W19" i="14"/>
  <c r="X19" i="14"/>
  <c r="W20" i="14"/>
  <c r="X20" i="14"/>
  <c r="W21" i="14"/>
  <c r="X21" i="14"/>
  <c r="W22" i="14"/>
  <c r="X22" i="14"/>
  <c r="W23" i="14"/>
  <c r="X23" i="14"/>
  <c r="W24" i="14"/>
  <c r="X24" i="14"/>
  <c r="W25" i="14"/>
  <c r="X25" i="14"/>
  <c r="W26" i="14"/>
  <c r="X26" i="14"/>
  <c r="W27" i="14"/>
  <c r="X27" i="14"/>
  <c r="W28" i="14"/>
  <c r="X28" i="14"/>
  <c r="W29" i="14"/>
  <c r="X29" i="14"/>
  <c r="W30" i="14"/>
  <c r="X30" i="14"/>
  <c r="W31" i="14"/>
  <c r="X31" i="14"/>
  <c r="W32" i="14"/>
  <c r="X32" i="14"/>
  <c r="W33" i="14"/>
  <c r="X33" i="14"/>
  <c r="X3" i="14"/>
  <c r="W3" i="14"/>
  <c r="R5" i="14"/>
  <c r="R4" i="14"/>
  <c r="R6" i="14"/>
  <c r="R7" i="14"/>
  <c r="R8" i="14"/>
  <c r="R9" i="14"/>
  <c r="R10" i="14"/>
  <c r="R11" i="14"/>
  <c r="R12" i="14"/>
  <c r="R13" i="14"/>
  <c r="R14" i="14"/>
  <c r="R15" i="14"/>
  <c r="R16" i="14"/>
  <c r="R17" i="14"/>
  <c r="R18" i="14"/>
  <c r="R19" i="14"/>
  <c r="R20" i="14"/>
  <c r="R21" i="14"/>
  <c r="R22" i="14"/>
  <c r="R23" i="14"/>
  <c r="R24" i="14"/>
  <c r="R25" i="14"/>
  <c r="R26" i="14"/>
  <c r="R27" i="14"/>
  <c r="R28" i="14"/>
  <c r="R29" i="14"/>
  <c r="R30" i="14"/>
  <c r="R31" i="14"/>
  <c r="R32" i="14"/>
  <c r="S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 i="14"/>
  <c r="R3" i="14"/>
  <c r="M4" i="14"/>
  <c r="N4" i="14"/>
  <c r="M5" i="14"/>
  <c r="N5" i="14"/>
  <c r="M6" i="14"/>
  <c r="N6" i="14"/>
  <c r="M7" i="14"/>
  <c r="N7" i="14"/>
  <c r="M8" i="14"/>
  <c r="N8" i="14"/>
  <c r="M9" i="14"/>
  <c r="N9" i="14"/>
  <c r="M10" i="14"/>
  <c r="N10" i="14"/>
  <c r="M11" i="14"/>
  <c r="N11" i="14"/>
  <c r="M12" i="14"/>
  <c r="N12" i="14"/>
  <c r="M13" i="14"/>
  <c r="N13" i="14"/>
  <c r="M14" i="14"/>
  <c r="N14" i="14"/>
  <c r="M15" i="14"/>
  <c r="N15" i="14"/>
  <c r="M16" i="14"/>
  <c r="N16" i="14"/>
  <c r="M17" i="14"/>
  <c r="N17" i="14"/>
  <c r="M18" i="14"/>
  <c r="N18" i="14"/>
  <c r="M19" i="14"/>
  <c r="N19" i="14"/>
  <c r="M20" i="14"/>
  <c r="N20" i="14"/>
  <c r="M21" i="14"/>
  <c r="N21" i="14"/>
  <c r="M22" i="14"/>
  <c r="N22" i="14"/>
  <c r="M23" i="14"/>
  <c r="N23" i="14"/>
  <c r="M24" i="14"/>
  <c r="N24" i="14"/>
  <c r="M25" i="14"/>
  <c r="N25" i="14"/>
  <c r="M26" i="14"/>
  <c r="N26" i="14"/>
  <c r="M27" i="14"/>
  <c r="N27" i="14"/>
  <c r="M28" i="14"/>
  <c r="N28" i="14"/>
  <c r="M29" i="14"/>
  <c r="N29" i="14"/>
  <c r="M30" i="14"/>
  <c r="N30" i="14"/>
  <c r="M31" i="14"/>
  <c r="N31" i="14"/>
  <c r="M32" i="14"/>
  <c r="N32" i="14"/>
  <c r="M33" i="14"/>
  <c r="N33" i="14"/>
  <c r="N3" i="14"/>
  <c r="M3" i="14"/>
  <c r="C4" i="14"/>
  <c r="C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AU4" i="13"/>
  <c r="AU5" i="13"/>
  <c r="AU6" i="13"/>
  <c r="AU7" i="13"/>
  <c r="AU8" i="13"/>
  <c r="AU9" i="13"/>
  <c r="AU10" i="13"/>
  <c r="AU11" i="13"/>
  <c r="AU12" i="13"/>
  <c r="AU13" i="13"/>
  <c r="AU14" i="13"/>
  <c r="AU15" i="13"/>
  <c r="AU16" i="13"/>
  <c r="AU17" i="13"/>
  <c r="AU18" i="13"/>
  <c r="AU19" i="13"/>
  <c r="AU20" i="13"/>
  <c r="AU21" i="13"/>
  <c r="AU22" i="13"/>
  <c r="AU23" i="13"/>
  <c r="AU24" i="13"/>
  <c r="AU25" i="13"/>
  <c r="AU26" i="13"/>
  <c r="AU27" i="13"/>
  <c r="AU28" i="13"/>
  <c r="AU29" i="13"/>
  <c r="AU30" i="13"/>
  <c r="AU31" i="13"/>
  <c r="AU32" i="13"/>
  <c r="AU33" i="13"/>
  <c r="AU3" i="13"/>
  <c r="AQ4" i="13"/>
  <c r="AQ5" i="13"/>
  <c r="AQ6" i="13"/>
  <c r="AQ7" i="13"/>
  <c r="AQ8" i="13"/>
  <c r="AQ9" i="13"/>
  <c r="AQ10" i="13"/>
  <c r="AQ11" i="13"/>
  <c r="AQ12" i="13"/>
  <c r="AQ13" i="13"/>
  <c r="AQ14" i="13"/>
  <c r="AQ15" i="13"/>
  <c r="AQ16" i="13"/>
  <c r="AQ17" i="13"/>
  <c r="AQ18" i="13"/>
  <c r="AQ19" i="13"/>
  <c r="AQ20" i="13"/>
  <c r="AQ21" i="13"/>
  <c r="AQ22" i="13"/>
  <c r="AQ23" i="13"/>
  <c r="AQ24" i="13"/>
  <c r="AQ25" i="13"/>
  <c r="AQ26" i="13"/>
  <c r="AQ27" i="13"/>
  <c r="AQ28" i="13"/>
  <c r="AQ29" i="13"/>
  <c r="AQ30" i="13"/>
  <c r="AQ31" i="13"/>
  <c r="AQ32" i="13"/>
  <c r="AO33" i="13"/>
  <c r="AP33" i="13"/>
  <c r="AQ33" i="13"/>
  <c r="AR33" i="13"/>
  <c r="AQ3" i="13"/>
  <c r="AM4" i="13"/>
  <c r="AM5" i="13"/>
  <c r="AM6" i="13"/>
  <c r="AM7" i="13"/>
  <c r="AM8" i="13"/>
  <c r="AM9" i="13"/>
  <c r="AM10" i="13"/>
  <c r="AM11" i="13"/>
  <c r="AM12" i="13"/>
  <c r="AM13" i="13"/>
  <c r="AM14" i="13"/>
  <c r="AM15" i="13"/>
  <c r="AM16" i="13"/>
  <c r="AM17" i="13"/>
  <c r="AM18" i="13"/>
  <c r="AM19" i="13"/>
  <c r="AM20" i="13"/>
  <c r="AM21" i="13"/>
  <c r="AM22" i="13"/>
  <c r="AM23" i="13"/>
  <c r="AM24" i="13"/>
  <c r="AM25" i="13"/>
  <c r="AM26" i="13"/>
  <c r="AM27" i="13"/>
  <c r="AM28" i="13"/>
  <c r="AM29" i="13"/>
  <c r="AM30" i="13"/>
  <c r="AM31" i="13"/>
  <c r="AM32" i="13"/>
  <c r="AM33" i="13"/>
  <c r="AM3" i="13"/>
  <c r="AI4" i="13"/>
  <c r="AI5" i="13"/>
  <c r="AI6" i="13"/>
  <c r="AI7" i="13"/>
  <c r="AI8" i="13"/>
  <c r="AI9" i="13"/>
  <c r="AI10" i="13"/>
  <c r="AI11" i="13"/>
  <c r="AI12" i="13"/>
  <c r="AI13" i="13"/>
  <c r="AI14" i="13"/>
  <c r="AI15" i="13"/>
  <c r="AI16" i="13"/>
  <c r="AI17" i="13"/>
  <c r="AI18" i="13"/>
  <c r="AI19" i="13"/>
  <c r="AI20" i="13"/>
  <c r="AI21" i="13"/>
  <c r="AI22" i="13"/>
  <c r="AI23" i="13"/>
  <c r="AI24" i="13"/>
  <c r="AI25" i="13"/>
  <c r="AI26" i="13"/>
  <c r="AI27" i="13"/>
  <c r="AI28" i="13"/>
  <c r="AI29" i="13"/>
  <c r="AI30" i="13"/>
  <c r="AI31" i="13"/>
  <c r="AI32" i="13"/>
  <c r="AG33" i="13"/>
  <c r="AH33" i="13"/>
  <c r="AI33" i="13"/>
  <c r="AJ33" i="13"/>
  <c r="AI3" i="13"/>
  <c r="K3" i="13"/>
  <c r="AE4" i="13"/>
  <c r="AE5" i="13"/>
  <c r="AE6" i="13"/>
  <c r="AE7" i="13"/>
  <c r="AE8" i="13"/>
  <c r="AE9" i="13"/>
  <c r="AE10" i="13"/>
  <c r="AE11" i="13"/>
  <c r="AE12" i="13"/>
  <c r="AE13" i="13"/>
  <c r="AE14" i="13"/>
  <c r="AE15" i="13"/>
  <c r="AE16" i="13"/>
  <c r="AE17" i="13"/>
  <c r="AE18" i="13"/>
  <c r="AE19" i="13"/>
  <c r="AE20" i="13"/>
  <c r="AE21" i="13"/>
  <c r="AE22" i="13"/>
  <c r="AE23" i="13"/>
  <c r="AE24" i="13"/>
  <c r="AE25" i="13"/>
  <c r="AE26" i="13"/>
  <c r="AE27" i="13"/>
  <c r="AE28" i="13"/>
  <c r="AE29" i="13"/>
  <c r="AE30" i="13"/>
  <c r="AE31" i="13"/>
  <c r="AE32" i="13"/>
  <c r="AE33" i="13"/>
  <c r="AE3" i="13"/>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Y31" i="13"/>
  <c r="Z31" i="13"/>
  <c r="AA31" i="13"/>
  <c r="AB31" i="13"/>
  <c r="Y32" i="13"/>
  <c r="Z32" i="13"/>
  <c r="AA32" i="13"/>
  <c r="AB32" i="13"/>
  <c r="Y33" i="13"/>
  <c r="Z33" i="13"/>
  <c r="AA33" i="13"/>
  <c r="AB33" i="13"/>
  <c r="AA3" i="13"/>
  <c r="W4" i="13"/>
  <c r="W5" i="13"/>
  <c r="W6" i="13"/>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M33" i="13"/>
  <c r="N33" i="13"/>
  <c r="O33" i="13"/>
  <c r="P33" i="13"/>
  <c r="O3" i="13"/>
  <c r="M3" i="13"/>
  <c r="K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CI18" i="12"/>
  <c r="CI19" i="12"/>
  <c r="CI20" i="12"/>
  <c r="CI21" i="12"/>
  <c r="CI22" i="12"/>
  <c r="CI27" i="12"/>
  <c r="CI28" i="12"/>
  <c r="CI29" i="12"/>
  <c r="CI30" i="12"/>
  <c r="CI31" i="12"/>
  <c r="CI32" i="12"/>
  <c r="CI33" i="12"/>
  <c r="CI34" i="12"/>
  <c r="CI17" i="12"/>
  <c r="A39" i="12"/>
  <c r="A38" i="12"/>
  <c r="A37" i="12"/>
  <c r="A36" i="12"/>
  <c r="A35" i="12"/>
  <c r="A34" i="12"/>
  <c r="A33" i="12"/>
  <c r="A28" i="12"/>
  <c r="A27" i="12"/>
  <c r="A26" i="12"/>
  <c r="A25" i="12"/>
  <c r="B37" i="12"/>
  <c r="B38" i="12"/>
  <c r="H47" i="16"/>
  <c r="N47" i="16"/>
  <c r="T47" i="16"/>
  <c r="Z47" i="16"/>
  <c r="AF47" i="16"/>
  <c r="G46" i="16"/>
  <c r="M46" i="16"/>
  <c r="S46" i="16"/>
  <c r="Y46" i="16"/>
  <c r="AE46" i="16"/>
  <c r="F45" i="16"/>
  <c r="L45" i="16"/>
  <c r="R45" i="16"/>
  <c r="X45" i="16"/>
  <c r="AD45" i="16"/>
  <c r="E44" i="16"/>
  <c r="K44" i="16"/>
  <c r="Q44" i="16"/>
  <c r="W44" i="16"/>
  <c r="AC44" i="16"/>
  <c r="D43" i="16"/>
  <c r="J43" i="16"/>
  <c r="P43" i="16"/>
  <c r="V43" i="16"/>
  <c r="AB43" i="16"/>
  <c r="C42" i="16"/>
  <c r="I42" i="16"/>
  <c r="AG42" i="16" s="1"/>
  <c r="O42" i="16"/>
  <c r="U42" i="16"/>
  <c r="AA42" i="16"/>
  <c r="H38" i="16"/>
  <c r="N38" i="16"/>
  <c r="T38" i="16"/>
  <c r="Z38" i="16"/>
  <c r="AF38" i="16"/>
  <c r="G37" i="16"/>
  <c r="M37" i="16"/>
  <c r="S37" i="16"/>
  <c r="Y37" i="16"/>
  <c r="AE37" i="16"/>
  <c r="F36" i="16"/>
  <c r="L36" i="16"/>
  <c r="R36" i="16"/>
  <c r="X36" i="16"/>
  <c r="AD36" i="16"/>
  <c r="E35" i="16"/>
  <c r="K35" i="16"/>
  <c r="Q35" i="16"/>
  <c r="W35" i="16"/>
  <c r="AC35" i="16"/>
  <c r="D34" i="16"/>
  <c r="J34" i="16"/>
  <c r="P34" i="16"/>
  <c r="V34" i="16"/>
  <c r="AB34" i="16"/>
  <c r="C33" i="16"/>
  <c r="I33" i="16"/>
  <c r="N39" i="16" s="1"/>
  <c r="O33" i="16"/>
  <c r="U33" i="16"/>
  <c r="AA33" i="16"/>
  <c r="AG33" i="16"/>
  <c r="A38" i="16"/>
  <c r="AF3" i="16" s="1"/>
  <c r="A37" i="16"/>
  <c r="Y3" i="16" s="1"/>
  <c r="A36" i="16"/>
  <c r="F3" i="16" s="1"/>
  <c r="A35" i="16"/>
  <c r="AC3" i="16" s="1"/>
  <c r="A34" i="16"/>
  <c r="V3" i="16" s="1"/>
  <c r="A33" i="16"/>
  <c r="U3" i="16" s="1"/>
  <c r="AA41" i="16"/>
  <c r="U41" i="16"/>
  <c r="O41" i="16"/>
  <c r="I41" i="16"/>
  <c r="C41" i="16"/>
  <c r="AA32" i="16"/>
  <c r="U32" i="16"/>
  <c r="O32" i="16"/>
  <c r="I32" i="16"/>
  <c r="C32" i="16"/>
  <c r="A6" i="16"/>
  <c r="A7" i="16"/>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C33" i="15"/>
  <c r="S33" i="15"/>
  <c r="I33" i="15"/>
  <c r="H33" i="15"/>
  <c r="AC32" i="15"/>
  <c r="X32" i="15"/>
  <c r="S32" i="15"/>
  <c r="N32" i="15"/>
  <c r="I32" i="15"/>
  <c r="H32" i="15"/>
  <c r="AC31" i="15"/>
  <c r="X31" i="15"/>
  <c r="S31" i="15"/>
  <c r="N31" i="15"/>
  <c r="I31" i="15"/>
  <c r="H31" i="15"/>
  <c r="D31" i="15"/>
  <c r="C31" i="15"/>
  <c r="B31" i="15"/>
  <c r="A31" i="15"/>
  <c r="AC30" i="15"/>
  <c r="X30" i="15"/>
  <c r="S30" i="15"/>
  <c r="N30" i="15"/>
  <c r="I30" i="15"/>
  <c r="H30" i="15"/>
  <c r="D30" i="15"/>
  <c r="AC29" i="15"/>
  <c r="X29" i="15"/>
  <c r="S29" i="15"/>
  <c r="N29" i="15"/>
  <c r="I29" i="15"/>
  <c r="H29" i="15"/>
  <c r="D29" i="15"/>
  <c r="AC28" i="15"/>
  <c r="X28" i="15"/>
  <c r="S28" i="15"/>
  <c r="N28" i="15"/>
  <c r="I28" i="15"/>
  <c r="H28" i="15"/>
  <c r="D28" i="15"/>
  <c r="AC27" i="15"/>
  <c r="X27" i="15"/>
  <c r="S27" i="15"/>
  <c r="N27" i="15"/>
  <c r="I27" i="15"/>
  <c r="H27" i="15"/>
  <c r="D27" i="15"/>
  <c r="AC26" i="15"/>
  <c r="X26" i="15"/>
  <c r="S26" i="15"/>
  <c r="N26" i="15"/>
  <c r="I26" i="15"/>
  <c r="H26" i="15"/>
  <c r="D26" i="15"/>
  <c r="AC25" i="15"/>
  <c r="X25" i="15"/>
  <c r="S25" i="15"/>
  <c r="N25" i="15"/>
  <c r="I25" i="15"/>
  <c r="H25" i="15"/>
  <c r="D25" i="15"/>
  <c r="AC24" i="15"/>
  <c r="X24" i="15"/>
  <c r="S24" i="15"/>
  <c r="N24" i="15"/>
  <c r="I24" i="15"/>
  <c r="H24" i="15"/>
  <c r="D24" i="15"/>
  <c r="AC23" i="15"/>
  <c r="X23" i="15"/>
  <c r="S23" i="15"/>
  <c r="N23" i="15"/>
  <c r="I23" i="15"/>
  <c r="H23" i="15"/>
  <c r="D23" i="15"/>
  <c r="AC22" i="15"/>
  <c r="X22" i="15"/>
  <c r="S22" i="15"/>
  <c r="N22" i="15"/>
  <c r="I22" i="15"/>
  <c r="H22" i="15"/>
  <c r="D22" i="15"/>
  <c r="AC21" i="15"/>
  <c r="X21" i="15"/>
  <c r="S21" i="15"/>
  <c r="N21" i="15"/>
  <c r="I21" i="15"/>
  <c r="H21" i="15"/>
  <c r="D21" i="15"/>
  <c r="AC20" i="15"/>
  <c r="X20" i="15"/>
  <c r="S20" i="15"/>
  <c r="N20" i="15"/>
  <c r="I20" i="15"/>
  <c r="H20" i="15"/>
  <c r="D20" i="15"/>
  <c r="AC19" i="15"/>
  <c r="X19" i="15"/>
  <c r="S19" i="15"/>
  <c r="N19" i="15"/>
  <c r="I19" i="15"/>
  <c r="H19" i="15"/>
  <c r="D19" i="15"/>
  <c r="AC18" i="15"/>
  <c r="X18" i="15"/>
  <c r="S18" i="15"/>
  <c r="N18" i="15"/>
  <c r="I18" i="15"/>
  <c r="H18" i="15"/>
  <c r="D18" i="15"/>
  <c r="AC17" i="15"/>
  <c r="X17" i="15"/>
  <c r="S17" i="15"/>
  <c r="N17" i="15"/>
  <c r="I17" i="15"/>
  <c r="H17" i="15"/>
  <c r="D17" i="15"/>
  <c r="AC16" i="15"/>
  <c r="X16" i="15"/>
  <c r="S16" i="15"/>
  <c r="N16" i="15"/>
  <c r="I16" i="15"/>
  <c r="H16" i="15"/>
  <c r="D16" i="15"/>
  <c r="AC15" i="15"/>
  <c r="X15" i="15"/>
  <c r="S15" i="15"/>
  <c r="N15" i="15"/>
  <c r="I15" i="15"/>
  <c r="H15" i="15"/>
  <c r="D15" i="15"/>
  <c r="AC14" i="15"/>
  <c r="X14" i="15"/>
  <c r="S14" i="15"/>
  <c r="N14" i="15"/>
  <c r="I14" i="15"/>
  <c r="H14" i="15"/>
  <c r="D14" i="15"/>
  <c r="AC13" i="15"/>
  <c r="X13" i="15"/>
  <c r="S13" i="15"/>
  <c r="N13" i="15"/>
  <c r="I13" i="15"/>
  <c r="H13" i="15"/>
  <c r="D13" i="15"/>
  <c r="AC12" i="15"/>
  <c r="X12" i="15"/>
  <c r="S12" i="15"/>
  <c r="N12" i="15"/>
  <c r="I12" i="15"/>
  <c r="H12" i="15"/>
  <c r="D12" i="15"/>
  <c r="AC11" i="15"/>
  <c r="X11" i="15"/>
  <c r="S11" i="15"/>
  <c r="N11" i="15"/>
  <c r="I11" i="15"/>
  <c r="H11" i="15"/>
  <c r="D11" i="15"/>
  <c r="AC10" i="15"/>
  <c r="X10" i="15"/>
  <c r="S10" i="15"/>
  <c r="N10" i="15"/>
  <c r="I10" i="15"/>
  <c r="H10" i="15"/>
  <c r="D10" i="15"/>
  <c r="AC9" i="15"/>
  <c r="X9" i="15"/>
  <c r="S9" i="15"/>
  <c r="N9" i="15"/>
  <c r="I9" i="15"/>
  <c r="H9" i="15"/>
  <c r="D9" i="15"/>
  <c r="AC8" i="15"/>
  <c r="X8" i="15"/>
  <c r="S8" i="15"/>
  <c r="N8" i="15"/>
  <c r="I8" i="15"/>
  <c r="H8" i="15"/>
  <c r="D8" i="15"/>
  <c r="AC7" i="15"/>
  <c r="X7" i="15"/>
  <c r="S7" i="15"/>
  <c r="N7" i="15"/>
  <c r="I7" i="15"/>
  <c r="H7" i="15"/>
  <c r="D7" i="15"/>
  <c r="AC6" i="15"/>
  <c r="Z6" i="15"/>
  <c r="X6" i="15"/>
  <c r="S6" i="15"/>
  <c r="N6" i="15"/>
  <c r="I6" i="15"/>
  <c r="H6" i="15"/>
  <c r="D6" i="15"/>
  <c r="AC5" i="15"/>
  <c r="Z5" i="15"/>
  <c r="X5" i="15"/>
  <c r="S5" i="15"/>
  <c r="N5" i="15"/>
  <c r="I5" i="15"/>
  <c r="H5" i="15"/>
  <c r="D5" i="15"/>
  <c r="AC4" i="15"/>
  <c r="X4" i="15"/>
  <c r="S4" i="15"/>
  <c r="N4" i="15"/>
  <c r="I4" i="15"/>
  <c r="H4" i="15"/>
  <c r="D4" i="15"/>
  <c r="AC3" i="15"/>
  <c r="X3" i="15"/>
  <c r="S3" i="15"/>
  <c r="N3" i="15"/>
  <c r="I3" i="15"/>
  <c r="C3" i="15"/>
  <c r="A1" i="15"/>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4" i="14"/>
  <c r="D3" i="14"/>
  <c r="A1" i="14"/>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AS2" i="13"/>
  <c r="AO2" i="13"/>
  <c r="AK2" i="13"/>
  <c r="AG2" i="13"/>
  <c r="AC2" i="13"/>
  <c r="Y2" i="13"/>
  <c r="U2" i="13"/>
  <c r="Q2" i="13"/>
  <c r="M2" i="13"/>
  <c r="I2" i="13"/>
  <c r="E2" i="13"/>
  <c r="A2" i="13"/>
  <c r="A1" i="13"/>
  <c r="B1" i="12"/>
  <c r="AD1" i="12" s="1"/>
  <c r="A6" i="11"/>
  <c r="A7" i="11"/>
  <c r="A8" i="11" s="1"/>
  <c r="A9" i="11" s="1"/>
  <c r="A10" i="11" s="1"/>
  <c r="A11" i="11"/>
  <c r="A12" i="11" s="1"/>
  <c r="A13" i="11" s="1"/>
  <c r="A14" i="11" s="1"/>
  <c r="A15" i="11" s="1"/>
  <c r="A16" i="11" s="1"/>
  <c r="A17" i="11" s="1"/>
  <c r="A18" i="11" s="1"/>
  <c r="A19" i="11" s="1"/>
  <c r="A20" i="11" s="1"/>
  <c r="A21" i="11" s="1"/>
  <c r="A22" i="11" s="1"/>
  <c r="A23" i="11" s="1"/>
  <c r="A24" i="11" s="1"/>
  <c r="A25" i="11" s="1"/>
  <c r="A26" i="11" s="1"/>
  <c r="A27" i="11" s="1"/>
  <c r="A28" i="11" s="1"/>
  <c r="A29" i="11" s="1"/>
  <c r="A30" i="11" s="1"/>
  <c r="AF3" i="11"/>
  <c r="AB3" i="11"/>
  <c r="T3" i="11"/>
  <c r="P3" i="11"/>
  <c r="H3" i="11"/>
  <c r="D3" i="11"/>
  <c r="A6" i="10"/>
  <c r="A7" i="10" s="1"/>
  <c r="A8" i="10"/>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X3" i="10"/>
  <c r="AG46" i="5"/>
  <c r="A38" i="5"/>
  <c r="A37" i="5"/>
  <c r="Y3" i="5" s="1"/>
  <c r="A36" i="5"/>
  <c r="A35" i="5"/>
  <c r="Q3" i="5" s="1"/>
  <c r="A34" i="5"/>
  <c r="A33" i="5"/>
  <c r="I3" i="5" s="1"/>
  <c r="AF48" i="5"/>
  <c r="AF39" i="5"/>
  <c r="Z48" i="5"/>
  <c r="T48" i="5"/>
  <c r="N48" i="5"/>
  <c r="Z39" i="5"/>
  <c r="N39" i="5"/>
  <c r="H39" i="5"/>
  <c r="U3"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C32" i="5"/>
  <c r="I32" i="5"/>
  <c r="O32" i="5"/>
  <c r="U32" i="5"/>
  <c r="AA32" i="5"/>
  <c r="C41" i="5"/>
  <c r="I41" i="5"/>
  <c r="O41" i="5"/>
  <c r="U41" i="5"/>
  <c r="AA41" i="5"/>
  <c r="AG48" i="5"/>
  <c r="A6" i="6"/>
  <c r="A7" i="6"/>
  <c r="A8" i="6" s="1"/>
  <c r="A9" i="6" s="1"/>
  <c r="A10" i="6" s="1"/>
  <c r="A11" i="6"/>
  <c r="A12" i="6" s="1"/>
  <c r="A13" i="6" s="1"/>
  <c r="A14" i="6" s="1"/>
  <c r="A15" i="6" s="1"/>
  <c r="A16" i="6" s="1"/>
  <c r="A17" i="6" s="1"/>
  <c r="A18" i="6" s="1"/>
  <c r="A19" i="6" s="1"/>
  <c r="A20" i="6" s="1"/>
  <c r="A21" i="6" s="1"/>
  <c r="A22" i="6" s="1"/>
  <c r="A23" i="6" s="1"/>
  <c r="A24" i="6" s="1"/>
  <c r="A25" i="6" s="1"/>
  <c r="A26" i="6" s="1"/>
  <c r="A27" i="6" s="1"/>
  <c r="A28" i="6" s="1"/>
  <c r="A29" i="6" s="1"/>
  <c r="A30" i="6" s="1"/>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BM36" i="1" l="1"/>
  <c r="BU34" i="1"/>
  <c r="BU36" i="1" s="1"/>
  <c r="BF52" i="12"/>
  <c r="AD52" i="12"/>
  <c r="BM52" i="12"/>
  <c r="AK52" i="12"/>
  <c r="CA52" i="12"/>
  <c r="AY52" i="12"/>
  <c r="BT52" i="12"/>
  <c r="AR52" i="12"/>
  <c r="P52" i="12"/>
  <c r="I52" i="12"/>
  <c r="W52" i="12"/>
  <c r="BM42" i="12"/>
  <c r="AK42" i="12"/>
  <c r="BT42" i="12"/>
  <c r="AR42" i="12"/>
  <c r="P42" i="12"/>
  <c r="I42" i="12"/>
  <c r="BF42" i="12"/>
  <c r="CA42" i="12"/>
  <c r="AY42" i="12"/>
  <c r="W42" i="12"/>
  <c r="AD42" i="12"/>
  <c r="BM54" i="12"/>
  <c r="AK54" i="12"/>
  <c r="BT54" i="12"/>
  <c r="AR54" i="12"/>
  <c r="P54" i="12"/>
  <c r="I54" i="12"/>
  <c r="AD54" i="12"/>
  <c r="CA54" i="12"/>
  <c r="AY54" i="12"/>
  <c r="W54" i="12"/>
  <c r="BF54" i="12"/>
  <c r="A3" i="15"/>
  <c r="I47" i="12"/>
  <c r="BT47" i="12"/>
  <c r="AR47" i="12"/>
  <c r="P47" i="12"/>
  <c r="BM47" i="12"/>
  <c r="AK47" i="12"/>
  <c r="CA47" i="12"/>
  <c r="AY47" i="12"/>
  <c r="W47" i="12"/>
  <c r="BF47" i="12"/>
  <c r="AD47" i="12"/>
  <c r="BF40" i="12"/>
  <c r="AD40" i="12"/>
  <c r="BM40" i="12"/>
  <c r="AK40" i="12"/>
  <c r="CA40" i="12"/>
  <c r="AY40" i="12"/>
  <c r="W40" i="12"/>
  <c r="BT40" i="12"/>
  <c r="AR40" i="12"/>
  <c r="P40" i="12"/>
  <c r="I40" i="12"/>
  <c r="BT48" i="12"/>
  <c r="AR48" i="12"/>
  <c r="P48" i="12"/>
  <c r="I48" i="12"/>
  <c r="CA48" i="12"/>
  <c r="AY48" i="12"/>
  <c r="W48" i="12"/>
  <c r="BM48" i="12"/>
  <c r="BF48" i="12"/>
  <c r="AD48" i="12"/>
  <c r="AK48" i="12"/>
  <c r="BM41" i="12"/>
  <c r="AK41" i="12"/>
  <c r="I41" i="12"/>
  <c r="BF41" i="12"/>
  <c r="AD41" i="12"/>
  <c r="BT41" i="12"/>
  <c r="AR41" i="12"/>
  <c r="P41" i="12"/>
  <c r="CA41" i="12"/>
  <c r="AY41" i="12"/>
  <c r="W41" i="12"/>
  <c r="B49" i="12"/>
  <c r="CA49" i="12"/>
  <c r="AY49" i="12"/>
  <c r="W49" i="12"/>
  <c r="BT49" i="12"/>
  <c r="AR49" i="12"/>
  <c r="P49" i="12"/>
  <c r="BF49" i="12"/>
  <c r="AD49" i="12"/>
  <c r="BM49" i="12"/>
  <c r="AK49" i="12"/>
  <c r="I49" i="12"/>
  <c r="CA50" i="12"/>
  <c r="AY50" i="12"/>
  <c r="W50" i="12"/>
  <c r="I50" i="12"/>
  <c r="BF50" i="12"/>
  <c r="AD50" i="12"/>
  <c r="BT50" i="12"/>
  <c r="BM50" i="12"/>
  <c r="AK50" i="12"/>
  <c r="AR50" i="12"/>
  <c r="P50" i="12"/>
  <c r="Y3" i="13"/>
  <c r="E55" i="12"/>
  <c r="BM53" i="12"/>
  <c r="AK53" i="12"/>
  <c r="I53" i="12"/>
  <c r="BF53" i="12"/>
  <c r="AD53" i="12"/>
  <c r="BT53" i="12"/>
  <c r="AR53" i="12"/>
  <c r="P53" i="12"/>
  <c r="CA53" i="12"/>
  <c r="AY53" i="12"/>
  <c r="W53" i="12"/>
  <c r="BF39" i="12"/>
  <c r="AD39" i="12"/>
  <c r="CA39" i="12"/>
  <c r="AY39" i="12"/>
  <c r="W39" i="12"/>
  <c r="BM39" i="12"/>
  <c r="AK39" i="12"/>
  <c r="BT39" i="12"/>
  <c r="AR39" i="12"/>
  <c r="P39" i="12"/>
  <c r="I39" i="12"/>
  <c r="BF51" i="12"/>
  <c r="AD51" i="12"/>
  <c r="AY51" i="12"/>
  <c r="W51" i="12"/>
  <c r="BM51" i="12"/>
  <c r="AK51" i="12"/>
  <c r="BT51" i="12"/>
  <c r="AR51" i="12"/>
  <c r="P51" i="12"/>
  <c r="I51" i="12"/>
  <c r="CA51" i="12"/>
  <c r="AS4" i="13"/>
  <c r="J6" i="12"/>
  <c r="L6" i="12" s="1"/>
  <c r="J7" i="12"/>
  <c r="L7" i="12" s="1"/>
  <c r="J5" i="12"/>
  <c r="J8" i="12"/>
  <c r="L8" i="12" s="1"/>
  <c r="J9" i="12"/>
  <c r="L9" i="12" s="1"/>
  <c r="J10" i="12"/>
  <c r="L10" i="12" s="1"/>
  <c r="J11" i="12"/>
  <c r="L11" i="12" s="1"/>
  <c r="J12" i="12"/>
  <c r="L12" i="12" s="1"/>
  <c r="J13" i="12"/>
  <c r="L13" i="12" s="1"/>
  <c r="J14" i="12"/>
  <c r="L14" i="12" s="1"/>
  <c r="J15" i="12"/>
  <c r="L15" i="12" s="1"/>
  <c r="J16" i="12"/>
  <c r="L16" i="12" s="1"/>
  <c r="J17" i="12"/>
  <c r="L17" i="12" s="1"/>
  <c r="J18" i="12"/>
  <c r="L18" i="12" s="1"/>
  <c r="J19" i="12"/>
  <c r="L19" i="12" s="1"/>
  <c r="J20" i="12"/>
  <c r="L20" i="12" s="1"/>
  <c r="J21" i="12"/>
  <c r="L21" i="12" s="1"/>
  <c r="J22" i="12"/>
  <c r="L22" i="12" s="1"/>
  <c r="J23" i="12"/>
  <c r="L23" i="12" s="1"/>
  <c r="J24" i="12"/>
  <c r="L24" i="12" s="1"/>
  <c r="I25" i="12"/>
  <c r="AS5" i="13"/>
  <c r="P3" i="15"/>
  <c r="P4" i="15"/>
  <c r="Z4" i="15"/>
  <c r="P7" i="15"/>
  <c r="AK7" i="13"/>
  <c r="AK6" i="13"/>
  <c r="I41" i="13"/>
  <c r="P5" i="15"/>
  <c r="A41" i="13"/>
  <c r="U3" i="15"/>
  <c r="Z3" i="15"/>
  <c r="P6" i="15"/>
  <c r="AK5" i="13"/>
  <c r="AK4" i="13"/>
  <c r="Z3" i="14"/>
  <c r="A4" i="14"/>
  <c r="A3" i="14"/>
  <c r="U3" i="13"/>
  <c r="F3" i="15"/>
  <c r="AC3" i="13"/>
  <c r="A44" i="14"/>
  <c r="A3" i="13"/>
  <c r="F4" i="15"/>
  <c r="B41" i="12"/>
  <c r="A42" i="15"/>
  <c r="BT6" i="12"/>
  <c r="BT7" i="12" s="1"/>
  <c r="AO5" i="13" s="1"/>
  <c r="B53" i="12"/>
  <c r="AR1" i="12"/>
  <c r="Q3" i="13"/>
  <c r="BF7" i="12"/>
  <c r="AG5" i="13" s="1"/>
  <c r="K4" i="15"/>
  <c r="AG3" i="13"/>
  <c r="K3" i="15"/>
  <c r="B47" i="12"/>
  <c r="E3" i="13"/>
  <c r="E4" i="13"/>
  <c r="W1" i="12"/>
  <c r="Z48" i="16"/>
  <c r="AG34" i="10"/>
  <c r="B51" i="12"/>
  <c r="Z39" i="16"/>
  <c r="AG46" i="16"/>
  <c r="Z4" i="14"/>
  <c r="U4" i="13"/>
  <c r="AR7" i="12"/>
  <c r="Y4" i="13"/>
  <c r="H39" i="10"/>
  <c r="AG38" i="5"/>
  <c r="T39" i="5"/>
  <c r="AG48" i="6"/>
  <c r="B39" i="12"/>
  <c r="T48" i="16"/>
  <c r="A45" i="14"/>
  <c r="BT1" i="12"/>
  <c r="BM1" i="12"/>
  <c r="P1" i="12"/>
  <c r="AG37" i="16"/>
  <c r="A45" i="13"/>
  <c r="BM11" i="12"/>
  <c r="P8" i="15"/>
  <c r="AG37" i="11"/>
  <c r="Z39" i="7"/>
  <c r="A43" i="14"/>
  <c r="A43" i="15"/>
  <c r="A43" i="13"/>
  <c r="AD7" i="12"/>
  <c r="U4" i="14"/>
  <c r="Q4" i="13"/>
  <c r="CA9" i="12"/>
  <c r="AS6" i="13"/>
  <c r="AF39" i="10"/>
  <c r="AF39" i="11"/>
  <c r="AG36" i="11"/>
  <c r="T39" i="11"/>
  <c r="AG38" i="7"/>
  <c r="AG44" i="16"/>
  <c r="B50" i="12"/>
  <c r="I3" i="13"/>
  <c r="AK3" i="13"/>
  <c r="AS3" i="13"/>
  <c r="U3" i="14"/>
  <c r="H48" i="5"/>
  <c r="N48" i="6"/>
  <c r="AG36" i="6"/>
  <c r="AG35" i="6"/>
  <c r="T48" i="11"/>
  <c r="E3" i="7"/>
  <c r="AD3" i="7"/>
  <c r="AG38" i="10"/>
  <c r="AG45" i="11"/>
  <c r="AG33" i="7"/>
  <c r="AF48" i="16"/>
  <c r="AG45" i="16"/>
  <c r="N48" i="10"/>
  <c r="AG33" i="5"/>
  <c r="AG44" i="10"/>
  <c r="Z39" i="11"/>
  <c r="AF39" i="7"/>
  <c r="AG37" i="7"/>
  <c r="N48" i="7"/>
  <c r="AG47" i="7"/>
  <c r="AG38" i="6"/>
  <c r="Z39" i="10"/>
  <c r="AG34" i="5"/>
  <c r="AG37" i="5"/>
  <c r="AG44" i="7"/>
  <c r="B10" i="1"/>
  <c r="C10" i="1" s="1"/>
  <c r="BF1" i="12"/>
  <c r="A44" i="13"/>
  <c r="V3" i="10"/>
  <c r="Q3" i="7"/>
  <c r="A36" i="1"/>
  <c r="K3" i="7"/>
  <c r="AE3" i="6"/>
  <c r="U3" i="6"/>
  <c r="AC3" i="7"/>
  <c r="AD3" i="6"/>
  <c r="W3" i="16"/>
  <c r="Y3" i="6"/>
  <c r="W3" i="7"/>
  <c r="AC3" i="5"/>
  <c r="N3" i="10"/>
  <c r="AA3" i="11"/>
  <c r="X3" i="6"/>
  <c r="M3" i="5"/>
  <c r="H3" i="16"/>
  <c r="F3" i="6"/>
  <c r="E3" i="5"/>
  <c r="J3" i="10"/>
  <c r="Z3" i="10"/>
  <c r="U3" i="11"/>
  <c r="J3" i="16"/>
  <c r="L3" i="6"/>
  <c r="F3" i="10"/>
  <c r="K3" i="11"/>
  <c r="AC3" i="11"/>
  <c r="AD3" i="16"/>
  <c r="U3" i="10"/>
  <c r="AD3" i="10"/>
  <c r="W3" i="11"/>
  <c r="P3" i="7"/>
  <c r="N3" i="7"/>
  <c r="R3" i="10"/>
  <c r="L3" i="10"/>
  <c r="E3" i="11"/>
  <c r="Q3" i="11"/>
  <c r="V3" i="7"/>
  <c r="H3" i="6"/>
  <c r="J3" i="6"/>
  <c r="Q3" i="6"/>
  <c r="M3" i="10"/>
  <c r="L3" i="11"/>
  <c r="Z3" i="16"/>
  <c r="I3" i="6"/>
  <c r="AE3" i="7"/>
  <c r="I3" i="10"/>
  <c r="N3" i="16"/>
  <c r="Y3" i="10"/>
  <c r="X3" i="11"/>
  <c r="C3" i="16"/>
  <c r="T3" i="16"/>
  <c r="A47" i="16"/>
  <c r="K3" i="6"/>
  <c r="A42" i="10"/>
  <c r="E3" i="10"/>
  <c r="K3" i="10"/>
  <c r="Q3" i="10"/>
  <c r="W3" i="10"/>
  <c r="AC3" i="10"/>
  <c r="G3" i="11"/>
  <c r="D3" i="16"/>
  <c r="P3" i="6"/>
  <c r="N3" i="6"/>
  <c r="C3" i="11"/>
  <c r="M3" i="11"/>
  <c r="S3" i="11"/>
  <c r="G3" i="16"/>
  <c r="S3" i="16"/>
  <c r="V3" i="6"/>
  <c r="E3" i="6"/>
  <c r="T3" i="6"/>
  <c r="H3" i="7"/>
  <c r="I3" i="11"/>
  <c r="O3" i="11"/>
  <c r="Y3" i="11"/>
  <c r="AE3" i="11"/>
  <c r="AE3" i="16"/>
  <c r="A46" i="16"/>
  <c r="D3" i="6"/>
  <c r="Z3" i="6"/>
  <c r="O3" i="16"/>
  <c r="X3" i="16"/>
  <c r="A43" i="16"/>
  <c r="A42" i="6"/>
  <c r="A46" i="6"/>
  <c r="A42" i="5"/>
  <c r="AE3" i="5"/>
  <c r="W3" i="5"/>
  <c r="O3" i="5"/>
  <c r="G3" i="5"/>
  <c r="A46" i="5"/>
  <c r="AA3" i="5"/>
  <c r="S3" i="5"/>
  <c r="K3" i="5"/>
  <c r="C3" i="5"/>
  <c r="A44" i="5"/>
  <c r="A45" i="16"/>
  <c r="A44" i="6"/>
  <c r="C3" i="7"/>
  <c r="A43" i="10"/>
  <c r="D3" i="10"/>
  <c r="H3" i="10"/>
  <c r="P3" i="10"/>
  <c r="T3" i="10"/>
  <c r="AF3" i="10"/>
  <c r="L3" i="16"/>
  <c r="R3" i="16"/>
  <c r="AB3" i="16"/>
  <c r="AC3" i="6"/>
  <c r="S3" i="6"/>
  <c r="O3" i="6"/>
  <c r="A43" i="11"/>
  <c r="A45" i="11"/>
  <c r="A47" i="11"/>
  <c r="J3" i="7"/>
  <c r="D3" i="7"/>
  <c r="S3" i="7"/>
  <c r="Y3" i="7"/>
  <c r="AF3" i="7"/>
  <c r="A43" i="7"/>
  <c r="C3" i="10"/>
  <c r="G3" i="10"/>
  <c r="O3" i="10"/>
  <c r="S3" i="10"/>
  <c r="AE3" i="10"/>
  <c r="F3" i="11"/>
  <c r="J3" i="11"/>
  <c r="N3" i="11"/>
  <c r="R3" i="11"/>
  <c r="K3" i="16"/>
  <c r="P3" i="16"/>
  <c r="AA3" i="16"/>
  <c r="A42" i="16"/>
  <c r="A44" i="16"/>
  <c r="AB3" i="6"/>
  <c r="R3" i="6"/>
  <c r="M3" i="6"/>
  <c r="AF3" i="6"/>
  <c r="M3" i="7"/>
  <c r="G3" i="7"/>
  <c r="A47" i="7"/>
  <c r="P3" i="12"/>
  <c r="W3" i="12" s="1"/>
  <c r="AD3" i="12" s="1"/>
  <c r="A17" i="4"/>
  <c r="A18" i="4" s="1"/>
  <c r="A19" i="4" s="1"/>
  <c r="A20" i="4" s="1"/>
  <c r="A21" i="4" s="1"/>
  <c r="A22" i="4" s="1"/>
  <c r="A23" i="4" s="1"/>
  <c r="A24" i="4" s="1"/>
  <c r="A25" i="4" s="1"/>
  <c r="A26" i="4" s="1"/>
  <c r="A27" i="4" s="1"/>
  <c r="A28" i="4" s="1"/>
  <c r="A29" i="4" s="1"/>
  <c r="A30" i="4" s="1"/>
  <c r="A31" i="4" s="1"/>
  <c r="A32" i="4" s="1"/>
  <c r="J3" i="5"/>
  <c r="V3" i="5"/>
  <c r="A43" i="5"/>
  <c r="AB3" i="5"/>
  <c r="D3" i="5"/>
  <c r="P3" i="5"/>
  <c r="F3" i="5"/>
  <c r="R3" i="5"/>
  <c r="AD3" i="5"/>
  <c r="X3" i="5"/>
  <c r="A45" i="5"/>
  <c r="L3" i="5"/>
  <c r="N3" i="5"/>
  <c r="Z3" i="5"/>
  <c r="A47" i="5"/>
  <c r="H3" i="5"/>
  <c r="T3" i="5"/>
  <c r="AF3" i="5"/>
  <c r="AG38" i="16"/>
  <c r="AG43" i="16"/>
  <c r="H48" i="16"/>
  <c r="B42" i="12"/>
  <c r="B40" i="12"/>
  <c r="B52" i="12"/>
  <c r="I1" i="12"/>
  <c r="AK1" i="12"/>
  <c r="AG35" i="16"/>
  <c r="AG36" i="16"/>
  <c r="T39" i="16"/>
  <c r="CA1" i="12"/>
  <c r="AY1" i="12"/>
  <c r="AF39" i="16"/>
  <c r="AG34" i="16"/>
  <c r="AG39" i="16" s="1"/>
  <c r="H39" i="16"/>
  <c r="N48" i="16"/>
  <c r="AG47" i="16"/>
  <c r="AG48" i="16" s="1"/>
  <c r="B54" i="12"/>
  <c r="B48" i="12"/>
  <c r="E3" i="16"/>
  <c r="I3" i="16"/>
  <c r="M3" i="16"/>
  <c r="Q3" i="16"/>
  <c r="G45" i="15"/>
  <c r="G45" i="14"/>
  <c r="G44" i="15"/>
  <c r="G44" i="14"/>
  <c r="G43" i="15"/>
  <c r="G43" i="14"/>
  <c r="G42" i="15"/>
  <c r="G42" i="14"/>
  <c r="C5" i="12"/>
  <c r="AG43" i="7"/>
  <c r="Z48" i="7"/>
  <c r="AG46" i="7"/>
  <c r="CJ18" i="12"/>
  <c r="C6" i="12"/>
  <c r="B7" i="12"/>
  <c r="AK7" i="12"/>
  <c r="P6" i="12"/>
  <c r="W6" i="12"/>
  <c r="AY7" i="12"/>
  <c r="AG34" i="11"/>
  <c r="H39" i="11"/>
  <c r="AG35" i="7"/>
  <c r="H39" i="7"/>
  <c r="AG33" i="10"/>
  <c r="T39" i="10"/>
  <c r="AG36" i="10"/>
  <c r="AG48" i="10"/>
  <c r="AG48" i="11"/>
  <c r="N39" i="11"/>
  <c r="AG38" i="11"/>
  <c r="N39" i="7"/>
  <c r="AF48" i="7"/>
  <c r="AG42" i="7"/>
  <c r="H48" i="7"/>
  <c r="CJ19" i="12"/>
  <c r="H39" i="6"/>
  <c r="AG34" i="6"/>
  <c r="AG35" i="10"/>
  <c r="AG36" i="5"/>
  <c r="N39" i="10"/>
  <c r="AG35" i="11"/>
  <c r="AG36" i="7"/>
  <c r="T3" i="7"/>
  <c r="I3" i="7"/>
  <c r="O3" i="7"/>
  <c r="L5" i="12" l="1"/>
  <c r="J3" i="14" s="1"/>
  <c r="CJ35" i="12"/>
  <c r="U4" i="15"/>
  <c r="J25" i="12"/>
  <c r="L25" i="12" s="1"/>
  <c r="I26" i="12"/>
  <c r="K5" i="15"/>
  <c r="BF8" i="12"/>
  <c r="AG6" i="13" s="1"/>
  <c r="BT8" i="12"/>
  <c r="U5" i="15"/>
  <c r="AO4" i="13"/>
  <c r="G4" i="14"/>
  <c r="G5" i="14"/>
  <c r="F4" i="14"/>
  <c r="X5" i="12"/>
  <c r="Q5" i="12"/>
  <c r="BM12" i="12"/>
  <c r="AK9" i="13"/>
  <c r="P9" i="15"/>
  <c r="U5" i="14"/>
  <c r="Q5" i="13"/>
  <c r="AD8" i="12"/>
  <c r="AR8" i="12"/>
  <c r="A5" i="15"/>
  <c r="Y5" i="13"/>
  <c r="G3" i="14"/>
  <c r="CA10" i="12"/>
  <c r="AS7" i="13"/>
  <c r="Z7" i="15"/>
  <c r="B11" i="1"/>
  <c r="C11" i="1" s="1"/>
  <c r="O38" i="15"/>
  <c r="W37" i="13"/>
  <c r="O37" i="14"/>
  <c r="T40" i="15"/>
  <c r="T39" i="14"/>
  <c r="AE39" i="13"/>
  <c r="F3" i="13"/>
  <c r="AK3" i="12"/>
  <c r="AL7" i="12" s="1"/>
  <c r="AE6" i="12"/>
  <c r="AE7" i="12"/>
  <c r="AE5" i="12"/>
  <c r="C7" i="12"/>
  <c r="B8" i="12"/>
  <c r="A5" i="13"/>
  <c r="A5" i="14"/>
  <c r="AG39" i="5"/>
  <c r="T36" i="15"/>
  <c r="T35" i="14"/>
  <c r="AE35" i="13"/>
  <c r="AK8" i="12"/>
  <c r="Z5" i="14"/>
  <c r="U5" i="13"/>
  <c r="E40" i="15"/>
  <c r="E39" i="14"/>
  <c r="G39" i="13"/>
  <c r="AG39" i="6"/>
  <c r="K39" i="14"/>
  <c r="O39" i="13"/>
  <c r="K40" i="15"/>
  <c r="X6" i="12"/>
  <c r="W7" i="12"/>
  <c r="P4" i="14"/>
  <c r="M4" i="13"/>
  <c r="E5" i="12"/>
  <c r="B3" i="14"/>
  <c r="B3" i="13"/>
  <c r="E38" i="15"/>
  <c r="E37" i="14"/>
  <c r="G37" i="13"/>
  <c r="AG48" i="7"/>
  <c r="AG39" i="7"/>
  <c r="K36" i="15"/>
  <c r="K35" i="14"/>
  <c r="O35" i="13"/>
  <c r="Y35" i="14"/>
  <c r="Y36" i="15"/>
  <c r="AM35" i="13"/>
  <c r="AG39" i="11"/>
  <c r="AG39" i="10"/>
  <c r="K37" i="14"/>
  <c r="K38" i="15"/>
  <c r="O37" i="13"/>
  <c r="O36" i="15"/>
  <c r="W35" i="13"/>
  <c r="O35" i="14"/>
  <c r="Y37" i="14"/>
  <c r="Y38" i="15"/>
  <c r="AM37" i="13"/>
  <c r="T37" i="14"/>
  <c r="AE37" i="13"/>
  <c r="T38" i="15"/>
  <c r="Y40" i="15"/>
  <c r="Y39" i="14"/>
  <c r="AM39" i="13"/>
  <c r="O39" i="14"/>
  <c r="O40" i="15"/>
  <c r="W39" i="13"/>
  <c r="AY8" i="12"/>
  <c r="AC5" i="13"/>
  <c r="F5" i="15"/>
  <c r="Q6" i="12"/>
  <c r="P7" i="12"/>
  <c r="K4" i="14"/>
  <c r="I4" i="13"/>
  <c r="E6" i="12"/>
  <c r="B4" i="13"/>
  <c r="B4" i="14"/>
  <c r="S5" i="12" l="1"/>
  <c r="Z5" i="12"/>
  <c r="P3" i="13" s="1"/>
  <c r="J3" i="13"/>
  <c r="BF9" i="12"/>
  <c r="AG7" i="13" s="1"/>
  <c r="K6" i="15"/>
  <c r="J26" i="12"/>
  <c r="I27" i="12"/>
  <c r="L3" i="14"/>
  <c r="F5" i="13"/>
  <c r="F4" i="13"/>
  <c r="J4" i="14"/>
  <c r="E5" i="13"/>
  <c r="J5" i="14"/>
  <c r="N3" i="13"/>
  <c r="F5" i="14"/>
  <c r="Q3" i="14"/>
  <c r="F6" i="14"/>
  <c r="BT9" i="12"/>
  <c r="U6" i="15"/>
  <c r="AO6" i="13"/>
  <c r="BM13" i="12"/>
  <c r="AK10" i="13"/>
  <c r="P10" i="15"/>
  <c r="BF10" i="12"/>
  <c r="Q6" i="13"/>
  <c r="U6" i="14"/>
  <c r="AE8" i="12"/>
  <c r="AD9" i="12"/>
  <c r="CA11" i="12"/>
  <c r="AS8" i="13"/>
  <c r="Z8" i="15"/>
  <c r="Y6" i="13"/>
  <c r="A6" i="15"/>
  <c r="AR9" i="12"/>
  <c r="B12" i="1"/>
  <c r="C12" i="1" s="1"/>
  <c r="AG7" i="12"/>
  <c r="V5" i="14"/>
  <c r="R5" i="13"/>
  <c r="AG5" i="12"/>
  <c r="V3" i="14"/>
  <c r="R3" i="13"/>
  <c r="V4" i="14"/>
  <c r="AG6" i="12"/>
  <c r="R4" i="13"/>
  <c r="H3" i="13"/>
  <c r="AL5" i="12"/>
  <c r="AR3" i="12"/>
  <c r="AY3" i="12"/>
  <c r="AL6" i="12"/>
  <c r="BT3" i="12"/>
  <c r="BF3" i="12"/>
  <c r="BM3" i="12"/>
  <c r="CA3" i="12"/>
  <c r="O3" i="14"/>
  <c r="L3" i="13"/>
  <c r="P8" i="12"/>
  <c r="Q7" i="12"/>
  <c r="K5" i="14"/>
  <c r="I5" i="13"/>
  <c r="AY9" i="12"/>
  <c r="AC6" i="13"/>
  <c r="F6" i="15"/>
  <c r="E35" i="14"/>
  <c r="E36" i="15"/>
  <c r="G35" i="13"/>
  <c r="AL8" i="12"/>
  <c r="AK9" i="12"/>
  <c r="Z6" i="14"/>
  <c r="U6" i="13"/>
  <c r="E4" i="14"/>
  <c r="D4" i="13"/>
  <c r="S6" i="12"/>
  <c r="L4" i="14"/>
  <c r="J4" i="13"/>
  <c r="X7" i="12"/>
  <c r="W8" i="12"/>
  <c r="P5" i="14"/>
  <c r="M5" i="13"/>
  <c r="AA5" i="14"/>
  <c r="AN7" i="12"/>
  <c r="V5" i="13"/>
  <c r="C8" i="12"/>
  <c r="B9" i="12"/>
  <c r="A6" i="13"/>
  <c r="A6" i="14"/>
  <c r="Z6" i="12"/>
  <c r="Q4" i="14"/>
  <c r="N4" i="13"/>
  <c r="E7" i="12"/>
  <c r="B5" i="13"/>
  <c r="B5" i="14"/>
  <c r="E3" i="14"/>
  <c r="D3" i="13"/>
  <c r="K7" i="15" l="1"/>
  <c r="T3" i="14"/>
  <c r="L26" i="12"/>
  <c r="J27" i="12"/>
  <c r="I28" i="12"/>
  <c r="H5" i="13"/>
  <c r="H4" i="13"/>
  <c r="U7" i="15"/>
  <c r="BT10" i="12"/>
  <c r="BU10" i="12" s="1"/>
  <c r="AO7" i="13"/>
  <c r="E6" i="13"/>
  <c r="CA12" i="12"/>
  <c r="CB12" i="12" s="1"/>
  <c r="Z9" i="15"/>
  <c r="AS9" i="13"/>
  <c r="AD10" i="12"/>
  <c r="U7" i="14"/>
  <c r="AE9" i="12"/>
  <c r="Q7" i="13"/>
  <c r="BM14" i="12"/>
  <c r="BN14" i="12" s="1"/>
  <c r="AK11" i="13"/>
  <c r="P11" i="15"/>
  <c r="R6" i="13"/>
  <c r="AG8" i="12"/>
  <c r="V6" i="14"/>
  <c r="A7" i="15"/>
  <c r="Y7" i="13"/>
  <c r="AR10" i="12"/>
  <c r="F7" i="14"/>
  <c r="E7" i="13"/>
  <c r="BF11" i="12"/>
  <c r="BG11" i="12" s="1"/>
  <c r="AG8" i="13"/>
  <c r="K8" i="15"/>
  <c r="B13" i="1"/>
  <c r="C13" i="1" s="1"/>
  <c r="BN10" i="12"/>
  <c r="BN9" i="12"/>
  <c r="BN12" i="12"/>
  <c r="BN11" i="12"/>
  <c r="BN13" i="12"/>
  <c r="BN6" i="12"/>
  <c r="BN5" i="12"/>
  <c r="BN8" i="12"/>
  <c r="BN7" i="12"/>
  <c r="AZ6" i="12"/>
  <c r="AZ5" i="12"/>
  <c r="AZ7" i="12"/>
  <c r="Y4" i="14"/>
  <c r="T4" i="13"/>
  <c r="Y3" i="14"/>
  <c r="T3" i="13"/>
  <c r="BG8" i="12"/>
  <c r="BG10" i="12"/>
  <c r="BG5" i="12"/>
  <c r="BG6" i="12"/>
  <c r="BG7" i="12"/>
  <c r="BG9" i="12"/>
  <c r="AS6" i="12"/>
  <c r="AS9" i="12"/>
  <c r="AS5" i="12"/>
  <c r="AS8" i="12"/>
  <c r="AS7" i="12"/>
  <c r="AZ8" i="12"/>
  <c r="G6" i="15" s="1"/>
  <c r="BU9" i="12"/>
  <c r="BU7" i="12"/>
  <c r="BU8" i="12"/>
  <c r="BU6" i="12"/>
  <c r="BU5" i="12"/>
  <c r="AA3" i="14"/>
  <c r="AN5" i="12"/>
  <c r="V3" i="13"/>
  <c r="CB9" i="12"/>
  <c r="CB11" i="12"/>
  <c r="CB6" i="12"/>
  <c r="CB10" i="12"/>
  <c r="CB7" i="12"/>
  <c r="CB5" i="12"/>
  <c r="CB8" i="12"/>
  <c r="AA4" i="14"/>
  <c r="V4" i="13"/>
  <c r="AN6" i="12"/>
  <c r="T5" i="13"/>
  <c r="Y5" i="14"/>
  <c r="E5" i="14"/>
  <c r="D5" i="13"/>
  <c r="T4" i="14"/>
  <c r="P4" i="13"/>
  <c r="W9" i="12"/>
  <c r="X8" i="12"/>
  <c r="M6" i="13"/>
  <c r="P6" i="14"/>
  <c r="O4" i="14"/>
  <c r="L4" i="13"/>
  <c r="AN8" i="12"/>
  <c r="AA6" i="14"/>
  <c r="V6" i="13"/>
  <c r="S7" i="12"/>
  <c r="L5" i="14"/>
  <c r="J5" i="13"/>
  <c r="C9" i="12"/>
  <c r="B10" i="12"/>
  <c r="A7" i="13"/>
  <c r="A7" i="14"/>
  <c r="Z7" i="12"/>
  <c r="Q5" i="14"/>
  <c r="N5" i="13"/>
  <c r="AY10" i="12"/>
  <c r="AC7" i="13"/>
  <c r="F7" i="15"/>
  <c r="AZ9" i="12"/>
  <c r="Q8" i="12"/>
  <c r="P9" i="12"/>
  <c r="K6" i="14"/>
  <c r="I6" i="13"/>
  <c r="B6" i="13"/>
  <c r="B6" i="14"/>
  <c r="E8" i="12"/>
  <c r="AD5" i="14"/>
  <c r="X5" i="13"/>
  <c r="AL9" i="12"/>
  <c r="AK10" i="12"/>
  <c r="Z7" i="14"/>
  <c r="U7" i="13"/>
  <c r="L27" i="12" l="1"/>
  <c r="I29" i="12"/>
  <c r="J28" i="12"/>
  <c r="G6" i="14"/>
  <c r="F6" i="13"/>
  <c r="BT11" i="12"/>
  <c r="AO8" i="13"/>
  <c r="U8" i="15"/>
  <c r="AD6" i="13"/>
  <c r="BB8" i="12"/>
  <c r="AF6" i="13" s="1"/>
  <c r="Y6" i="14"/>
  <c r="T6" i="13"/>
  <c r="AD11" i="12"/>
  <c r="AE10" i="12"/>
  <c r="U8" i="14"/>
  <c r="Q8" i="13"/>
  <c r="BF12" i="12"/>
  <c r="AG9" i="13"/>
  <c r="K9" i="15"/>
  <c r="F8" i="14"/>
  <c r="E8" i="13"/>
  <c r="A8" i="15"/>
  <c r="AR11" i="12"/>
  <c r="Y8" i="13"/>
  <c r="BM15" i="12"/>
  <c r="P12" i="15"/>
  <c r="AK12" i="13"/>
  <c r="R7" i="13"/>
  <c r="AG9" i="12"/>
  <c r="V7" i="14"/>
  <c r="AS10" i="12"/>
  <c r="G7" i="14"/>
  <c r="F7" i="13"/>
  <c r="J6" i="14"/>
  <c r="H6" i="13"/>
  <c r="CA13" i="12"/>
  <c r="AS10" i="13"/>
  <c r="Z10" i="15"/>
  <c r="B14" i="1"/>
  <c r="C14" i="1" s="1"/>
  <c r="AA6" i="15"/>
  <c r="CD8" i="12"/>
  <c r="AT6" i="13"/>
  <c r="CD5" i="12"/>
  <c r="AT3" i="13"/>
  <c r="AA3" i="15"/>
  <c r="AT5" i="13"/>
  <c r="AA5" i="15"/>
  <c r="CD7" i="12"/>
  <c r="V8" i="15"/>
  <c r="AP8" i="13"/>
  <c r="BW10" i="12"/>
  <c r="BW9" i="12"/>
  <c r="V7" i="15"/>
  <c r="AP7" i="13"/>
  <c r="AU5" i="12"/>
  <c r="B3" i="15"/>
  <c r="Z3" i="13"/>
  <c r="BI9" i="12"/>
  <c r="L7" i="15"/>
  <c r="AH7" i="13"/>
  <c r="AH5" i="13"/>
  <c r="BI7" i="12"/>
  <c r="L5" i="15"/>
  <c r="AH4" i="13"/>
  <c r="BI6" i="12"/>
  <c r="L4" i="15"/>
  <c r="L6" i="15"/>
  <c r="BI8" i="12"/>
  <c r="AH6" i="13"/>
  <c r="Q5" i="15"/>
  <c r="AL5" i="13"/>
  <c r="BP7" i="12"/>
  <c r="AL4" i="13"/>
  <c r="Q4" i="15"/>
  <c r="BP6" i="12"/>
  <c r="AA8" i="15"/>
  <c r="CD10" i="12"/>
  <c r="AT8" i="13"/>
  <c r="X3" i="13"/>
  <c r="AD3" i="14"/>
  <c r="AP5" i="13"/>
  <c r="BW7" i="12"/>
  <c r="V5" i="15"/>
  <c r="AU9" i="12"/>
  <c r="B7" i="15"/>
  <c r="Z7" i="13"/>
  <c r="AD5" i="13"/>
  <c r="BB7" i="12"/>
  <c r="G5" i="15"/>
  <c r="Q6" i="15"/>
  <c r="AL6" i="13"/>
  <c r="BP8" i="12"/>
  <c r="BP13" i="12"/>
  <c r="AL11" i="13"/>
  <c r="Q11" i="15"/>
  <c r="AL10" i="13"/>
  <c r="BP12" i="12"/>
  <c r="Q10" i="15"/>
  <c r="X4" i="13"/>
  <c r="AD4" i="14"/>
  <c r="AT10" i="13"/>
  <c r="CD12" i="12"/>
  <c r="AA10" i="15"/>
  <c r="V3" i="15"/>
  <c r="AP3" i="13"/>
  <c r="BW5" i="12"/>
  <c r="B5" i="15"/>
  <c r="Z5" i="13"/>
  <c r="AU7" i="12"/>
  <c r="AU6" i="12"/>
  <c r="Z4" i="13"/>
  <c r="B4" i="15"/>
  <c r="AH3" i="13"/>
  <c r="L3" i="15"/>
  <c r="BI5" i="12"/>
  <c r="BB5" i="12"/>
  <c r="G3" i="15"/>
  <c r="AD3" i="13"/>
  <c r="Q3" i="15"/>
  <c r="BP5" i="12"/>
  <c r="AL3" i="13"/>
  <c r="Q9" i="15"/>
  <c r="BP11" i="12"/>
  <c r="AL9" i="13"/>
  <c r="CD6" i="12"/>
  <c r="AT4" i="13"/>
  <c r="AA4" i="15"/>
  <c r="CD11" i="12"/>
  <c r="AT9" i="13"/>
  <c r="AA9" i="15"/>
  <c r="AT7" i="13"/>
  <c r="CD9" i="12"/>
  <c r="AA7" i="15"/>
  <c r="AP4" i="13"/>
  <c r="BW6" i="12"/>
  <c r="V4" i="15"/>
  <c r="BW8" i="12"/>
  <c r="AP6" i="13"/>
  <c r="V6" i="15"/>
  <c r="Z6" i="13"/>
  <c r="B6" i="15"/>
  <c r="AU8" i="12"/>
  <c r="BI11" i="12"/>
  <c r="AH9" i="13"/>
  <c r="L9" i="15"/>
  <c r="L8" i="15"/>
  <c r="AH8" i="13"/>
  <c r="BI10" i="12"/>
  <c r="G4" i="15"/>
  <c r="BB6" i="12"/>
  <c r="AD4" i="13"/>
  <c r="Q12" i="15"/>
  <c r="AL12" i="13"/>
  <c r="BP14" i="12"/>
  <c r="AL7" i="13"/>
  <c r="Q7" i="15"/>
  <c r="BP9" i="12"/>
  <c r="Q8" i="15"/>
  <c r="BP10" i="12"/>
  <c r="AL8" i="13"/>
  <c r="BB9" i="12"/>
  <c r="AD7" i="13"/>
  <c r="G7" i="15"/>
  <c r="T5" i="14"/>
  <c r="P5" i="13"/>
  <c r="Q6" i="14"/>
  <c r="N6" i="13"/>
  <c r="Z8" i="12"/>
  <c r="Q9" i="12"/>
  <c r="P10" i="12"/>
  <c r="K7" i="14"/>
  <c r="I7" i="13"/>
  <c r="C10" i="12"/>
  <c r="B11" i="12"/>
  <c r="A8" i="14"/>
  <c r="A8" i="13"/>
  <c r="X9" i="12"/>
  <c r="W10" i="12"/>
  <c r="P7" i="14"/>
  <c r="M7" i="13"/>
  <c r="AL10" i="12"/>
  <c r="AK11" i="12"/>
  <c r="Z8" i="14"/>
  <c r="U8" i="13"/>
  <c r="AA7" i="14"/>
  <c r="AN9" i="12"/>
  <c r="V7" i="13"/>
  <c r="S8" i="12"/>
  <c r="L6" i="14"/>
  <c r="J6" i="13"/>
  <c r="AZ10" i="12"/>
  <c r="AY11" i="12"/>
  <c r="AC8" i="13"/>
  <c r="F8" i="15"/>
  <c r="B7" i="14"/>
  <c r="E9" i="12"/>
  <c r="B7" i="13"/>
  <c r="O5" i="14"/>
  <c r="L5" i="13"/>
  <c r="AD6" i="14"/>
  <c r="X6" i="13"/>
  <c r="E6" i="14"/>
  <c r="D6" i="13"/>
  <c r="L28" i="12" l="1"/>
  <c r="I30" i="12"/>
  <c r="J29" i="12"/>
  <c r="J6" i="15"/>
  <c r="BT12" i="12"/>
  <c r="AO9" i="13"/>
  <c r="U9" i="15"/>
  <c r="BU11" i="12"/>
  <c r="AR12" i="12"/>
  <c r="AS11" i="12"/>
  <c r="Y9" i="13"/>
  <c r="A9" i="15"/>
  <c r="G8" i="14"/>
  <c r="F8" i="13"/>
  <c r="AD12" i="12"/>
  <c r="U9" i="14"/>
  <c r="Q9" i="13"/>
  <c r="AE11" i="12"/>
  <c r="F9" i="14"/>
  <c r="E9" i="13"/>
  <c r="BF13" i="12"/>
  <c r="K10" i="15"/>
  <c r="AG10" i="13"/>
  <c r="BG12" i="12"/>
  <c r="CA14" i="12"/>
  <c r="Z11" i="15"/>
  <c r="AS11" i="13"/>
  <c r="CB13" i="12"/>
  <c r="J7" i="14"/>
  <c r="H7" i="13"/>
  <c r="T7" i="13"/>
  <c r="Y7" i="14"/>
  <c r="BM16" i="12"/>
  <c r="AK13" i="13"/>
  <c r="P13" i="15"/>
  <c r="BN15" i="12"/>
  <c r="B8" i="15"/>
  <c r="Z8" i="13"/>
  <c r="AU10" i="12"/>
  <c r="AG10" i="12"/>
  <c r="V8" i="14"/>
  <c r="R8" i="13"/>
  <c r="B15" i="1"/>
  <c r="C15" i="1" s="1"/>
  <c r="Y4" i="15"/>
  <c r="AR4" i="13"/>
  <c r="AB5" i="13"/>
  <c r="E5" i="15"/>
  <c r="T10" i="15"/>
  <c r="AN10" i="13"/>
  <c r="T11" i="15"/>
  <c r="AN11" i="13"/>
  <c r="AN4" i="13"/>
  <c r="T4" i="15"/>
  <c r="E3" i="15"/>
  <c r="AB3" i="13"/>
  <c r="Y6" i="15"/>
  <c r="AR6" i="13"/>
  <c r="AN7" i="13"/>
  <c r="T7" i="15"/>
  <c r="E6" i="15"/>
  <c r="AB6" i="13"/>
  <c r="AV7" i="13"/>
  <c r="AD7" i="15"/>
  <c r="AV4" i="13"/>
  <c r="AD4" i="15"/>
  <c r="AN3" i="13"/>
  <c r="T3" i="15"/>
  <c r="J3" i="15"/>
  <c r="AF3" i="13"/>
  <c r="AJ3" i="13"/>
  <c r="O3" i="15"/>
  <c r="AR3" i="13"/>
  <c r="Y3" i="15"/>
  <c r="T6" i="15"/>
  <c r="AN6" i="13"/>
  <c r="J5" i="15"/>
  <c r="AF5" i="13"/>
  <c r="AJ5" i="13"/>
  <c r="O5" i="15"/>
  <c r="AJ7" i="13"/>
  <c r="O7" i="15"/>
  <c r="AV5" i="13"/>
  <c r="AD5" i="15"/>
  <c r="O9" i="15"/>
  <c r="AJ9" i="13"/>
  <c r="AN8" i="13"/>
  <c r="T8" i="15"/>
  <c r="AN12" i="13"/>
  <c r="T12" i="15"/>
  <c r="AF4" i="13"/>
  <c r="J4" i="15"/>
  <c r="O8" i="15"/>
  <c r="AJ8" i="13"/>
  <c r="AV9" i="13"/>
  <c r="AD9" i="15"/>
  <c r="AN9" i="13"/>
  <c r="T9" i="15"/>
  <c r="AB7" i="13"/>
  <c r="E7" i="15"/>
  <c r="AR8" i="13"/>
  <c r="Y8" i="15"/>
  <c r="AV3" i="13"/>
  <c r="AD3" i="15"/>
  <c r="AV6" i="13"/>
  <c r="AD6" i="15"/>
  <c r="AB4" i="13"/>
  <c r="E4" i="15"/>
  <c r="AD10" i="15"/>
  <c r="AV10" i="13"/>
  <c r="AR5" i="13"/>
  <c r="Y5" i="15"/>
  <c r="AV8" i="13"/>
  <c r="AD8" i="15"/>
  <c r="AN5" i="13"/>
  <c r="T5" i="15"/>
  <c r="AJ6" i="13"/>
  <c r="O6" i="15"/>
  <c r="O4" i="15"/>
  <c r="AJ4" i="13"/>
  <c r="AR7" i="13"/>
  <c r="Y7" i="15"/>
  <c r="E7" i="14"/>
  <c r="D7" i="13"/>
  <c r="AY12" i="12"/>
  <c r="AC9" i="13"/>
  <c r="F9" i="15"/>
  <c r="AZ11" i="12"/>
  <c r="AN10" i="12"/>
  <c r="AA8" i="14"/>
  <c r="V8" i="13"/>
  <c r="C11" i="12"/>
  <c r="B12" i="12"/>
  <c r="A9" i="13"/>
  <c r="A9" i="14"/>
  <c r="Q10" i="12"/>
  <c r="P11" i="12"/>
  <c r="K8" i="14"/>
  <c r="I8" i="13"/>
  <c r="AD8" i="13"/>
  <c r="BB10" i="12"/>
  <c r="G8" i="15"/>
  <c r="W11" i="12"/>
  <c r="X10" i="12"/>
  <c r="P8" i="14"/>
  <c r="M8" i="13"/>
  <c r="E10" i="12"/>
  <c r="B8" i="13"/>
  <c r="B8" i="14"/>
  <c r="S9" i="12"/>
  <c r="L7" i="14"/>
  <c r="J7" i="13"/>
  <c r="T6" i="14"/>
  <c r="P6" i="13"/>
  <c r="J7" i="15"/>
  <c r="AF7" i="13"/>
  <c r="O6" i="14"/>
  <c r="L6" i="13"/>
  <c r="AD7" i="14"/>
  <c r="X7" i="13"/>
  <c r="Z9" i="12"/>
  <c r="Q7" i="14"/>
  <c r="N7" i="13"/>
  <c r="AL11" i="12"/>
  <c r="AK12" i="12"/>
  <c r="Z9" i="14"/>
  <c r="U9" i="13"/>
  <c r="L29" i="12" l="1"/>
  <c r="J30" i="12"/>
  <c r="I31" i="12"/>
  <c r="V9" i="15"/>
  <c r="AP9" i="13"/>
  <c r="BW11" i="12"/>
  <c r="U10" i="15"/>
  <c r="BU12" i="12"/>
  <c r="AO10" i="13"/>
  <c r="BT13" i="12"/>
  <c r="T8" i="13"/>
  <c r="Y8" i="14"/>
  <c r="BF14" i="12"/>
  <c r="AG11" i="13"/>
  <c r="K11" i="15"/>
  <c r="BG13" i="12"/>
  <c r="J8" i="14"/>
  <c r="H8" i="13"/>
  <c r="Z9" i="13"/>
  <c r="B9" i="15"/>
  <c r="AU11" i="12"/>
  <c r="L10" i="15"/>
  <c r="BI12" i="12"/>
  <c r="AH10" i="13"/>
  <c r="U10" i="14"/>
  <c r="Q10" i="13"/>
  <c r="AD13" i="12"/>
  <c r="AE12" i="12"/>
  <c r="AR13" i="12"/>
  <c r="Y10" i="13"/>
  <c r="AS12" i="12"/>
  <c r="A10" i="15"/>
  <c r="AB8" i="13"/>
  <c r="E8" i="15"/>
  <c r="BM17" i="12"/>
  <c r="AK14" i="13"/>
  <c r="P14" i="15"/>
  <c r="BN16" i="12"/>
  <c r="CA15" i="12"/>
  <c r="AS12" i="13"/>
  <c r="Z12" i="15"/>
  <c r="CB14" i="12"/>
  <c r="F10" i="14"/>
  <c r="E10" i="13"/>
  <c r="AG11" i="12"/>
  <c r="V9" i="14"/>
  <c r="R9" i="13"/>
  <c r="Q13" i="15"/>
  <c r="BP15" i="12"/>
  <c r="AL13" i="13"/>
  <c r="AA11" i="15"/>
  <c r="AT11" i="13"/>
  <c r="CD13" i="12"/>
  <c r="G9" i="14"/>
  <c r="F9" i="13"/>
  <c r="B16" i="1"/>
  <c r="C16" i="1" s="1"/>
  <c r="T7" i="14"/>
  <c r="P7" i="13"/>
  <c r="O7" i="14"/>
  <c r="L7" i="13"/>
  <c r="Q11" i="12"/>
  <c r="P12" i="12"/>
  <c r="K9" i="14"/>
  <c r="I9" i="13"/>
  <c r="C12" i="12"/>
  <c r="B13" i="12"/>
  <c r="A10" i="13"/>
  <c r="A10" i="14"/>
  <c r="AD8" i="14"/>
  <c r="X8" i="13"/>
  <c r="AZ12" i="12"/>
  <c r="AY13" i="12"/>
  <c r="AC10" i="13"/>
  <c r="F10" i="15"/>
  <c r="W12" i="12"/>
  <c r="X11" i="12"/>
  <c r="P9" i="14"/>
  <c r="M9" i="13"/>
  <c r="J8" i="15"/>
  <c r="AF8" i="13"/>
  <c r="S10" i="12"/>
  <c r="L8" i="14"/>
  <c r="J8" i="13"/>
  <c r="E11" i="12"/>
  <c r="B9" i="13"/>
  <c r="B9" i="14"/>
  <c r="AD9" i="13"/>
  <c r="BB11" i="12"/>
  <c r="G9" i="15"/>
  <c r="AL12" i="12"/>
  <c r="AK13" i="12"/>
  <c r="Z10" i="14"/>
  <c r="U10" i="13"/>
  <c r="AA9" i="14"/>
  <c r="AN11" i="12"/>
  <c r="V9" i="13"/>
  <c r="E8" i="14"/>
  <c r="D8" i="13"/>
  <c r="Z10" i="12"/>
  <c r="Q8" i="14"/>
  <c r="N8" i="13"/>
  <c r="L30" i="12" l="1"/>
  <c r="I32" i="12"/>
  <c r="J31" i="12"/>
  <c r="BU13" i="12"/>
  <c r="U11" i="15"/>
  <c r="AO11" i="13"/>
  <c r="BT14" i="12"/>
  <c r="V10" i="15"/>
  <c r="AP10" i="13"/>
  <c r="BW12" i="12"/>
  <c r="AR9" i="13"/>
  <c r="Y9" i="15"/>
  <c r="AV11" i="13"/>
  <c r="AD11" i="15"/>
  <c r="CA16" i="12"/>
  <c r="AS13" i="13"/>
  <c r="Z13" i="15"/>
  <c r="CB15" i="12"/>
  <c r="BM18" i="12"/>
  <c r="AK15" i="13"/>
  <c r="P15" i="15"/>
  <c r="BN17" i="12"/>
  <c r="E9" i="15"/>
  <c r="AB9" i="13"/>
  <c r="BF15" i="12"/>
  <c r="AG12" i="13"/>
  <c r="K12" i="15"/>
  <c r="BG14" i="12"/>
  <c r="T9" i="13"/>
  <c r="Y9" i="14"/>
  <c r="AT12" i="13"/>
  <c r="CD14" i="12"/>
  <c r="AA12" i="15"/>
  <c r="Q14" i="15"/>
  <c r="AL14" i="13"/>
  <c r="BP16" i="12"/>
  <c r="AG12" i="12"/>
  <c r="V10" i="14"/>
  <c r="R10" i="13"/>
  <c r="BI13" i="12"/>
  <c r="AH11" i="13"/>
  <c r="L11" i="15"/>
  <c r="AR14" i="12"/>
  <c r="AS13" i="12"/>
  <c r="Y11" i="13"/>
  <c r="A11" i="15"/>
  <c r="J9" i="14"/>
  <c r="H9" i="13"/>
  <c r="T13" i="15"/>
  <c r="AN13" i="13"/>
  <c r="G10" i="14"/>
  <c r="F10" i="13"/>
  <c r="Z10" i="13"/>
  <c r="AU12" i="12"/>
  <c r="B10" i="15"/>
  <c r="Q11" i="13"/>
  <c r="AE13" i="12"/>
  <c r="U11" i="14"/>
  <c r="AD14" i="12"/>
  <c r="F11" i="14"/>
  <c r="E11" i="13"/>
  <c r="O10" i="15"/>
  <c r="AJ10" i="13"/>
  <c r="B17" i="1"/>
  <c r="C17" i="1" s="1"/>
  <c r="AN12" i="12"/>
  <c r="AA10" i="14"/>
  <c r="V10" i="13"/>
  <c r="O8" i="14"/>
  <c r="L8" i="13"/>
  <c r="AF9" i="13"/>
  <c r="J9" i="15"/>
  <c r="B14" i="12"/>
  <c r="C13" i="12"/>
  <c r="A11" i="13"/>
  <c r="A11" i="14"/>
  <c r="Q12" i="12"/>
  <c r="P13" i="12"/>
  <c r="K10" i="14"/>
  <c r="I10" i="13"/>
  <c r="Z11" i="12"/>
  <c r="Q9" i="14"/>
  <c r="N9" i="13"/>
  <c r="AY14" i="12"/>
  <c r="AC11" i="13"/>
  <c r="F11" i="15"/>
  <c r="AZ13" i="12"/>
  <c r="B10" i="13"/>
  <c r="B10" i="14"/>
  <c r="E12" i="12"/>
  <c r="S11" i="12"/>
  <c r="L9" i="14"/>
  <c r="J9" i="13"/>
  <c r="T8" i="14"/>
  <c r="P8" i="13"/>
  <c r="AD9" i="14"/>
  <c r="X9" i="13"/>
  <c r="AL13" i="12"/>
  <c r="AK14" i="12"/>
  <c r="Z11" i="14"/>
  <c r="U11" i="13"/>
  <c r="E9" i="14"/>
  <c r="D9" i="13"/>
  <c r="W13" i="12"/>
  <c r="X12" i="12"/>
  <c r="P10" i="14"/>
  <c r="M10" i="13"/>
  <c r="BB12" i="12"/>
  <c r="AD10" i="13"/>
  <c r="G10" i="15"/>
  <c r="L31" i="12" l="1"/>
  <c r="J32" i="12"/>
  <c r="L32" i="12" s="1"/>
  <c r="I33" i="12"/>
  <c r="BT15" i="12"/>
  <c r="U12" i="15"/>
  <c r="BU14" i="12"/>
  <c r="AO12" i="13"/>
  <c r="Y10" i="15"/>
  <c r="AR10" i="13"/>
  <c r="AP11" i="13"/>
  <c r="V11" i="15"/>
  <c r="BW13" i="12"/>
  <c r="F12" i="14"/>
  <c r="E12" i="13"/>
  <c r="Y12" i="13"/>
  <c r="A12" i="15"/>
  <c r="AR15" i="12"/>
  <c r="AS14" i="12"/>
  <c r="O11" i="15"/>
  <c r="AJ11" i="13"/>
  <c r="G11" i="14"/>
  <c r="F11" i="13"/>
  <c r="AD15" i="12"/>
  <c r="AE14" i="12"/>
  <c r="U12" i="14"/>
  <c r="Q12" i="13"/>
  <c r="AB10" i="13"/>
  <c r="E10" i="15"/>
  <c r="AN14" i="13"/>
  <c r="T14" i="15"/>
  <c r="AV12" i="13"/>
  <c r="AD12" i="15"/>
  <c r="BF16" i="12"/>
  <c r="AG13" i="13"/>
  <c r="K13" i="15"/>
  <c r="BG15" i="12"/>
  <c r="BM19" i="12"/>
  <c r="P16" i="15"/>
  <c r="AK16" i="13"/>
  <c r="BN18" i="12"/>
  <c r="CA17" i="12"/>
  <c r="AS14" i="13"/>
  <c r="Z14" i="15"/>
  <c r="CB16" i="12"/>
  <c r="AG13" i="12"/>
  <c r="V11" i="14"/>
  <c r="R11" i="13"/>
  <c r="J10" i="14"/>
  <c r="H10" i="13"/>
  <c r="Z11" i="13"/>
  <c r="AU13" i="12"/>
  <c r="B11" i="15"/>
  <c r="Y10" i="14"/>
  <c r="T10" i="13"/>
  <c r="BI14" i="12"/>
  <c r="AH12" i="13"/>
  <c r="L12" i="15"/>
  <c r="AL15" i="13"/>
  <c r="BP17" i="12"/>
  <c r="Q15" i="15"/>
  <c r="AT13" i="13"/>
  <c r="CD15" i="12"/>
  <c r="AA13" i="15"/>
  <c r="B18" i="1"/>
  <c r="C18" i="1" s="1"/>
  <c r="AA11" i="14"/>
  <c r="AN13" i="12"/>
  <c r="V11" i="13"/>
  <c r="O9" i="14"/>
  <c r="L9" i="13"/>
  <c r="E10" i="14"/>
  <c r="D10" i="13"/>
  <c r="S12" i="12"/>
  <c r="L10" i="14"/>
  <c r="J10" i="13"/>
  <c r="C14" i="12"/>
  <c r="B15" i="12"/>
  <c r="A12" i="14"/>
  <c r="A12" i="13"/>
  <c r="Q10" i="14"/>
  <c r="Z12" i="12"/>
  <c r="N10" i="13"/>
  <c r="AL14" i="12"/>
  <c r="AK15" i="12"/>
  <c r="Z12" i="14"/>
  <c r="U12" i="13"/>
  <c r="AZ14" i="12"/>
  <c r="AY15" i="12"/>
  <c r="AC12" i="13"/>
  <c r="F12" i="15"/>
  <c r="AD10" i="14"/>
  <c r="X10" i="13"/>
  <c r="AF10" i="13"/>
  <c r="J10" i="15"/>
  <c r="X13" i="12"/>
  <c r="W14" i="12"/>
  <c r="P11" i="14"/>
  <c r="M11" i="13"/>
  <c r="BB13" i="12"/>
  <c r="AD11" i="13"/>
  <c r="G11" i="15"/>
  <c r="T9" i="14"/>
  <c r="P9" i="13"/>
  <c r="Q13" i="12"/>
  <c r="P14" i="12"/>
  <c r="K11" i="14"/>
  <c r="I11" i="13"/>
  <c r="B11" i="14"/>
  <c r="B11" i="13"/>
  <c r="E13" i="12"/>
  <c r="J33" i="12" l="1"/>
  <c r="L33" i="12" s="1"/>
  <c r="I34" i="12"/>
  <c r="J34" i="12" s="1"/>
  <c r="V12" i="15"/>
  <c r="AP12" i="13"/>
  <c r="BW14" i="12"/>
  <c r="AR11" i="13"/>
  <c r="Y11" i="15"/>
  <c r="AO13" i="13"/>
  <c r="BT16" i="12"/>
  <c r="U13" i="15"/>
  <c r="BU15" i="12"/>
  <c r="AD13" i="15"/>
  <c r="AV13" i="13"/>
  <c r="CA18" i="12"/>
  <c r="AS15" i="13"/>
  <c r="Z15" i="15"/>
  <c r="CB17" i="12"/>
  <c r="AK17" i="13"/>
  <c r="P17" i="15"/>
  <c r="BM20" i="12"/>
  <c r="BN19" i="12"/>
  <c r="BF17" i="12"/>
  <c r="K14" i="15"/>
  <c r="AG14" i="13"/>
  <c r="BG16" i="12"/>
  <c r="AD16" i="12"/>
  <c r="Q13" i="13"/>
  <c r="U13" i="14"/>
  <c r="AE15" i="12"/>
  <c r="G12" i="14"/>
  <c r="F12" i="13"/>
  <c r="AN15" i="13"/>
  <c r="T15" i="15"/>
  <c r="AB11" i="13"/>
  <c r="E11" i="15"/>
  <c r="AA14" i="15"/>
  <c r="AT14" i="13"/>
  <c r="CD16" i="12"/>
  <c r="AL16" i="13"/>
  <c r="Q16" i="15"/>
  <c r="BP18" i="12"/>
  <c r="L13" i="15"/>
  <c r="AH13" i="13"/>
  <c r="BI15" i="12"/>
  <c r="Y11" i="14"/>
  <c r="T11" i="13"/>
  <c r="B12" i="15"/>
  <c r="AU14" i="12"/>
  <c r="Z12" i="13"/>
  <c r="F13" i="14"/>
  <c r="E13" i="13"/>
  <c r="O12" i="15"/>
  <c r="AJ12" i="13"/>
  <c r="R12" i="13"/>
  <c r="V12" i="14"/>
  <c r="AG14" i="12"/>
  <c r="J11" i="14"/>
  <c r="H11" i="13"/>
  <c r="Y13" i="13"/>
  <c r="A13" i="15"/>
  <c r="AS15" i="12"/>
  <c r="AR16" i="12"/>
  <c r="B19" i="1"/>
  <c r="C19" i="1" s="1"/>
  <c r="E11" i="14"/>
  <c r="D11" i="13"/>
  <c r="S13" i="12"/>
  <c r="L11" i="14"/>
  <c r="J11" i="13"/>
  <c r="W15" i="12"/>
  <c r="X14" i="12"/>
  <c r="P12" i="14"/>
  <c r="M12" i="13"/>
  <c r="AY16" i="12"/>
  <c r="AC13" i="13"/>
  <c r="F13" i="15"/>
  <c r="AZ15" i="12"/>
  <c r="AL15" i="12"/>
  <c r="AK16" i="12"/>
  <c r="Z13" i="14"/>
  <c r="U13" i="13"/>
  <c r="E14" i="12"/>
  <c r="B12" i="13"/>
  <c r="B12" i="14"/>
  <c r="J11" i="15"/>
  <c r="AF11" i="13"/>
  <c r="Z13" i="12"/>
  <c r="N11" i="13"/>
  <c r="Q11" i="14"/>
  <c r="AD12" i="13"/>
  <c r="G12" i="15"/>
  <c r="BB14" i="12"/>
  <c r="AN14" i="12"/>
  <c r="AA12" i="14"/>
  <c r="V12" i="13"/>
  <c r="T10" i="14"/>
  <c r="P10" i="13"/>
  <c r="O10" i="14"/>
  <c r="L10" i="13"/>
  <c r="AD11" i="14"/>
  <c r="X11" i="13"/>
  <c r="Q14" i="12"/>
  <c r="P15" i="12"/>
  <c r="K12" i="14"/>
  <c r="I12" i="13"/>
  <c r="C15" i="12"/>
  <c r="B16" i="12"/>
  <c r="A13" i="13"/>
  <c r="A13" i="14"/>
  <c r="O102" i="12" l="1"/>
  <c r="O103" i="12"/>
  <c r="O70" i="12"/>
  <c r="O85" i="12"/>
  <c r="O52" i="12"/>
  <c r="O67" i="12"/>
  <c r="O56" i="12"/>
  <c r="O51" i="12"/>
  <c r="O89" i="12"/>
  <c r="O97" i="12"/>
  <c r="O55" i="12"/>
  <c r="O59" i="12"/>
  <c r="O65" i="12"/>
  <c r="O64" i="12"/>
  <c r="O61" i="12"/>
  <c r="O53" i="12"/>
  <c r="O58" i="12"/>
  <c r="O71" i="12"/>
  <c r="O63" i="12"/>
  <c r="O99" i="12"/>
  <c r="O101" i="12"/>
  <c r="O49" i="12"/>
  <c r="O98" i="12"/>
  <c r="O68" i="12"/>
  <c r="O88" i="12"/>
  <c r="O62" i="12"/>
  <c r="O86" i="12"/>
  <c r="O100" i="12"/>
  <c r="O50" i="12"/>
  <c r="O69" i="12"/>
  <c r="O87" i="12"/>
  <c r="O57" i="12"/>
  <c r="L34" i="12"/>
  <c r="O81" i="12"/>
  <c r="O91" i="12"/>
  <c r="O93" i="12"/>
  <c r="O74" i="12"/>
  <c r="O73" i="12"/>
  <c r="O95" i="12"/>
  <c r="O80" i="12"/>
  <c r="O76" i="12"/>
  <c r="O75" i="12"/>
  <c r="O83" i="12"/>
  <c r="O77" i="12"/>
  <c r="O79" i="12"/>
  <c r="O94" i="12"/>
  <c r="O82" i="12"/>
  <c r="O92" i="12"/>
  <c r="BT17" i="12"/>
  <c r="U14" i="15"/>
  <c r="AO14" i="13"/>
  <c r="BU16" i="12"/>
  <c r="Y12" i="15"/>
  <c r="AR12" i="13"/>
  <c r="V13" i="15"/>
  <c r="BW15" i="12"/>
  <c r="AP13" i="13"/>
  <c r="AV14" i="13"/>
  <c r="AD14" i="15"/>
  <c r="T12" i="13"/>
  <c r="Y12" i="14"/>
  <c r="T16" i="15"/>
  <c r="AN16" i="13"/>
  <c r="AE16" i="12"/>
  <c r="U14" i="14"/>
  <c r="Q14" i="13"/>
  <c r="AD17" i="12"/>
  <c r="BF18" i="12"/>
  <c r="AG15" i="13"/>
  <c r="K15" i="15"/>
  <c r="BG17" i="12"/>
  <c r="CA19" i="12"/>
  <c r="AS16" i="13"/>
  <c r="Z16" i="15"/>
  <c r="CB18" i="12"/>
  <c r="B13" i="15"/>
  <c r="Z13" i="13"/>
  <c r="AU15" i="12"/>
  <c r="F14" i="14"/>
  <c r="E14" i="13"/>
  <c r="AJ13" i="13"/>
  <c r="O13" i="15"/>
  <c r="V13" i="14"/>
  <c r="R13" i="13"/>
  <c r="AG15" i="12"/>
  <c r="BI16" i="12"/>
  <c r="AH14" i="13"/>
  <c r="L14" i="15"/>
  <c r="BP19" i="12"/>
  <c r="Q17" i="15"/>
  <c r="AL17" i="13"/>
  <c r="AA15" i="15"/>
  <c r="CD17" i="12"/>
  <c r="AT15" i="13"/>
  <c r="A14" i="15"/>
  <c r="Y14" i="13"/>
  <c r="AR17" i="12"/>
  <c r="AS16" i="12"/>
  <c r="G13" i="14"/>
  <c r="F13" i="13"/>
  <c r="E12" i="15"/>
  <c r="AB12" i="13"/>
  <c r="J12" i="14"/>
  <c r="H12" i="13"/>
  <c r="P18" i="15"/>
  <c r="BM21" i="12"/>
  <c r="AK18" i="13"/>
  <c r="BN20" i="12"/>
  <c r="B20" i="1"/>
  <c r="C20" i="1" s="1"/>
  <c r="C16" i="12"/>
  <c r="B17" i="12"/>
  <c r="A14" i="13"/>
  <c r="A14" i="14"/>
  <c r="E15" i="12"/>
  <c r="B13" i="13"/>
  <c r="B13" i="14"/>
  <c r="AA13" i="14"/>
  <c r="AN15" i="12"/>
  <c r="V13" i="13"/>
  <c r="AY17" i="12"/>
  <c r="AZ16" i="12"/>
  <c r="AC14" i="13"/>
  <c r="F14" i="15"/>
  <c r="X15" i="12"/>
  <c r="W16" i="12"/>
  <c r="P13" i="14"/>
  <c r="M13" i="13"/>
  <c r="S14" i="12"/>
  <c r="L12" i="14"/>
  <c r="J12" i="13"/>
  <c r="J12" i="15"/>
  <c r="AF12" i="13"/>
  <c r="AL16" i="12"/>
  <c r="AK17" i="12"/>
  <c r="Z14" i="14"/>
  <c r="U14" i="13"/>
  <c r="Z14" i="12"/>
  <c r="Q12" i="14"/>
  <c r="N12" i="13"/>
  <c r="O11" i="14"/>
  <c r="L11" i="13"/>
  <c r="T11" i="14"/>
  <c r="P11" i="13"/>
  <c r="AD12" i="14"/>
  <c r="X12" i="13"/>
  <c r="AD13" i="13"/>
  <c r="G13" i="15"/>
  <c r="BB15" i="12"/>
  <c r="P16" i="12"/>
  <c r="Q15" i="12"/>
  <c r="K13" i="14"/>
  <c r="I13" i="13"/>
  <c r="E12" i="14"/>
  <c r="D12" i="13"/>
  <c r="AR13" i="13" l="1"/>
  <c r="Y13" i="15"/>
  <c r="BW16" i="12"/>
  <c r="AP14" i="13"/>
  <c r="V14" i="15"/>
  <c r="BT18" i="12"/>
  <c r="AO15" i="13"/>
  <c r="BU17" i="12"/>
  <c r="U15" i="15"/>
  <c r="AR18" i="12"/>
  <c r="A15" i="15"/>
  <c r="AS17" i="12"/>
  <c r="Y15" i="13"/>
  <c r="T17" i="15"/>
  <c r="AN17" i="13"/>
  <c r="T13" i="13"/>
  <c r="Y13" i="14"/>
  <c r="G14" i="14"/>
  <c r="F14" i="13"/>
  <c r="CA20" i="12"/>
  <c r="Z17" i="15"/>
  <c r="AS17" i="13"/>
  <c r="CB19" i="12"/>
  <c r="BF19" i="12"/>
  <c r="AG16" i="13"/>
  <c r="K16" i="15"/>
  <c r="BG18" i="12"/>
  <c r="AG16" i="12"/>
  <c r="V14" i="14"/>
  <c r="R14" i="13"/>
  <c r="O14" i="15"/>
  <c r="AJ14" i="13"/>
  <c r="AT16" i="13"/>
  <c r="AA16" i="15"/>
  <c r="CD18" i="12"/>
  <c r="L15" i="15"/>
  <c r="BI17" i="12"/>
  <c r="AH15" i="13"/>
  <c r="AE17" i="12"/>
  <c r="Q15" i="13"/>
  <c r="U15" i="14"/>
  <c r="AD18" i="12"/>
  <c r="BM22" i="12"/>
  <c r="P19" i="15"/>
  <c r="AK19" i="13"/>
  <c r="BN21" i="12"/>
  <c r="J13" i="14"/>
  <c r="H13" i="13"/>
  <c r="Q18" i="15"/>
  <c r="BP20" i="12"/>
  <c r="AL18" i="13"/>
  <c r="AV15" i="13"/>
  <c r="AD15" i="15"/>
  <c r="AB13" i="13"/>
  <c r="E13" i="15"/>
  <c r="AU16" i="12"/>
  <c r="Z14" i="13"/>
  <c r="B14" i="15"/>
  <c r="F15" i="14"/>
  <c r="E15" i="13"/>
  <c r="B21" i="1"/>
  <c r="C21" i="1" s="1"/>
  <c r="W17" i="12"/>
  <c r="X16" i="12"/>
  <c r="M14" i="13"/>
  <c r="P14" i="14"/>
  <c r="BB16" i="12"/>
  <c r="AD14" i="13"/>
  <c r="G14" i="15"/>
  <c r="S15" i="12"/>
  <c r="L13" i="14"/>
  <c r="J13" i="13"/>
  <c r="AL17" i="12"/>
  <c r="AK18" i="12"/>
  <c r="Z15" i="14"/>
  <c r="U15" i="13"/>
  <c r="Z15" i="12"/>
  <c r="Q13" i="14"/>
  <c r="N13" i="13"/>
  <c r="AY18" i="12"/>
  <c r="AC15" i="13"/>
  <c r="F15" i="15"/>
  <c r="AZ17" i="12"/>
  <c r="Q16" i="12"/>
  <c r="P17" i="12"/>
  <c r="K14" i="14"/>
  <c r="I14" i="13"/>
  <c r="T12" i="14"/>
  <c r="P12" i="13"/>
  <c r="AN16" i="12"/>
  <c r="AA14" i="14"/>
  <c r="V14" i="13"/>
  <c r="C17" i="12"/>
  <c r="B18" i="12"/>
  <c r="A15" i="13"/>
  <c r="A15" i="14"/>
  <c r="AF13" i="13"/>
  <c r="J13" i="15"/>
  <c r="O12" i="14"/>
  <c r="L12" i="13"/>
  <c r="AD13" i="14"/>
  <c r="X13" i="13"/>
  <c r="E13" i="14"/>
  <c r="D13" i="13"/>
  <c r="B14" i="14"/>
  <c r="B14" i="13"/>
  <c r="E16" i="12"/>
  <c r="AO16" i="13" l="1"/>
  <c r="BU18" i="12"/>
  <c r="U16" i="15"/>
  <c r="BT19" i="12"/>
  <c r="AP15" i="13"/>
  <c r="V15" i="15"/>
  <c r="BW17" i="12"/>
  <c r="AR14" i="13"/>
  <c r="Y14" i="15"/>
  <c r="F16" i="14"/>
  <c r="E16" i="13"/>
  <c r="Z15" i="13"/>
  <c r="AU17" i="12"/>
  <c r="B15" i="15"/>
  <c r="AV16" i="13"/>
  <c r="AD16" i="15"/>
  <c r="AK20" i="13"/>
  <c r="BM23" i="12"/>
  <c r="P20" i="15"/>
  <c r="BN22" i="12"/>
  <c r="AG17" i="12"/>
  <c r="V15" i="14"/>
  <c r="R15" i="13"/>
  <c r="Y14" i="14"/>
  <c r="T14" i="13"/>
  <c r="BF20" i="12"/>
  <c r="AG17" i="13"/>
  <c r="K17" i="15"/>
  <c r="BG19" i="12"/>
  <c r="AS18" i="13"/>
  <c r="Z18" i="15"/>
  <c r="CA21" i="12"/>
  <c r="CB20" i="12"/>
  <c r="A16" i="15"/>
  <c r="AS18" i="12"/>
  <c r="AR19" i="12"/>
  <c r="Y16" i="13"/>
  <c r="G15" i="14"/>
  <c r="F15" i="13"/>
  <c r="AB14" i="13"/>
  <c r="E14" i="15"/>
  <c r="T18" i="15"/>
  <c r="AN18" i="13"/>
  <c r="Q19" i="15"/>
  <c r="AL19" i="13"/>
  <c r="BP21" i="12"/>
  <c r="U16" i="14"/>
  <c r="Q16" i="13"/>
  <c r="AD19" i="12"/>
  <c r="AE18" i="12"/>
  <c r="O15" i="15"/>
  <c r="AJ15" i="13"/>
  <c r="BI18" i="12"/>
  <c r="L16" i="15"/>
  <c r="AH16" i="13"/>
  <c r="AA17" i="15"/>
  <c r="CD19" i="12"/>
  <c r="AT17" i="13"/>
  <c r="J14" i="14"/>
  <c r="H14" i="13"/>
  <c r="B22" i="1"/>
  <c r="C22" i="1" s="1"/>
  <c r="BB17" i="12"/>
  <c r="AD15" i="13"/>
  <c r="G15" i="15"/>
  <c r="X17" i="12"/>
  <c r="W18" i="12"/>
  <c r="P15" i="14"/>
  <c r="M15" i="13"/>
  <c r="O13" i="14"/>
  <c r="L13" i="13"/>
  <c r="AL18" i="12"/>
  <c r="AK19" i="12"/>
  <c r="Z16" i="14"/>
  <c r="U16" i="13"/>
  <c r="Q17" i="12"/>
  <c r="P18" i="12"/>
  <c r="K15" i="14"/>
  <c r="I15" i="13"/>
  <c r="T13" i="14"/>
  <c r="P13" i="13"/>
  <c r="AA15" i="14"/>
  <c r="AN17" i="12"/>
  <c r="V15" i="13"/>
  <c r="C18" i="12"/>
  <c r="B19" i="12"/>
  <c r="A16" i="14"/>
  <c r="A16" i="13"/>
  <c r="AF14" i="13"/>
  <c r="J14" i="15"/>
  <c r="B15" i="14"/>
  <c r="E17" i="12"/>
  <c r="B15" i="13"/>
  <c r="E14" i="14"/>
  <c r="D14" i="13"/>
  <c r="AD14" i="14"/>
  <c r="X14" i="13"/>
  <c r="S16" i="12"/>
  <c r="L14" i="14"/>
  <c r="J14" i="13"/>
  <c r="AZ18" i="12"/>
  <c r="AY19" i="12"/>
  <c r="AC16" i="13"/>
  <c r="F16" i="15"/>
  <c r="Q14" i="14"/>
  <c r="Z16" i="12"/>
  <c r="N14" i="13"/>
  <c r="Y15" i="15" l="1"/>
  <c r="AR15" i="13"/>
  <c r="BU19" i="12"/>
  <c r="U17" i="15"/>
  <c r="AO17" i="13"/>
  <c r="BT20" i="12"/>
  <c r="V16" i="15"/>
  <c r="BW18" i="12"/>
  <c r="AP16" i="13"/>
  <c r="AV17" i="13"/>
  <c r="AD17" i="15"/>
  <c r="CD20" i="12"/>
  <c r="AA18" i="15"/>
  <c r="AT18" i="13"/>
  <c r="AH17" i="13"/>
  <c r="L17" i="15"/>
  <c r="BI19" i="12"/>
  <c r="Y15" i="14"/>
  <c r="T15" i="13"/>
  <c r="J15" i="14"/>
  <c r="H15" i="13"/>
  <c r="Y17" i="13"/>
  <c r="A17" i="15"/>
  <c r="AS19" i="12"/>
  <c r="AR20" i="12"/>
  <c r="CA22" i="12"/>
  <c r="AS19" i="13"/>
  <c r="Z19" i="15"/>
  <c r="CB21" i="12"/>
  <c r="BP22" i="12"/>
  <c r="AL20" i="13"/>
  <c r="Q20" i="15"/>
  <c r="F17" i="14"/>
  <c r="E17" i="13"/>
  <c r="AJ16" i="13"/>
  <c r="O16" i="15"/>
  <c r="V16" i="14"/>
  <c r="R16" i="13"/>
  <c r="AG18" i="12"/>
  <c r="AN19" i="13"/>
  <c r="T19" i="15"/>
  <c r="AU18" i="12"/>
  <c r="Z16" i="13"/>
  <c r="B16" i="15"/>
  <c r="E15" i="15"/>
  <c r="AB15" i="13"/>
  <c r="G16" i="14"/>
  <c r="F16" i="13"/>
  <c r="U17" i="14"/>
  <c r="Q17" i="13"/>
  <c r="AE19" i="12"/>
  <c r="AD20" i="12"/>
  <c r="BF21" i="12"/>
  <c r="AG18" i="13"/>
  <c r="K18" i="15"/>
  <c r="BG20" i="12"/>
  <c r="BM24" i="12"/>
  <c r="AK21" i="13"/>
  <c r="P21" i="15"/>
  <c r="BN23" i="12"/>
  <c r="B23" i="1"/>
  <c r="C23" i="1" s="1"/>
  <c r="E15" i="14"/>
  <c r="D15" i="13"/>
  <c r="W19" i="12"/>
  <c r="X18" i="12"/>
  <c r="P16" i="14"/>
  <c r="M16" i="13"/>
  <c r="S17" i="12"/>
  <c r="L15" i="14"/>
  <c r="J15" i="13"/>
  <c r="Z17" i="12"/>
  <c r="Q15" i="14"/>
  <c r="N15" i="13"/>
  <c r="AY20" i="12"/>
  <c r="AC17" i="13"/>
  <c r="F17" i="15"/>
  <c r="AZ19" i="12"/>
  <c r="O14" i="14"/>
  <c r="L14" i="13"/>
  <c r="E18" i="12"/>
  <c r="B16" i="13"/>
  <c r="B16" i="14"/>
  <c r="AD15" i="14"/>
  <c r="X15" i="13"/>
  <c r="T14" i="14"/>
  <c r="P14" i="13"/>
  <c r="Q18" i="12"/>
  <c r="P19" i="12"/>
  <c r="K16" i="14"/>
  <c r="I16" i="13"/>
  <c r="AL19" i="12"/>
  <c r="AK20" i="12"/>
  <c r="Z17" i="14"/>
  <c r="U17" i="13"/>
  <c r="J15" i="15"/>
  <c r="AF15" i="13"/>
  <c r="C19" i="12"/>
  <c r="B20" i="12"/>
  <c r="A17" i="13"/>
  <c r="A17" i="14"/>
  <c r="AN18" i="12"/>
  <c r="AA16" i="14"/>
  <c r="V16" i="13"/>
  <c r="AD16" i="13"/>
  <c r="G16" i="15"/>
  <c r="BB18" i="12"/>
  <c r="AR16" i="13" l="1"/>
  <c r="Y16" i="15"/>
  <c r="U18" i="15"/>
  <c r="BU20" i="12"/>
  <c r="AO18" i="13"/>
  <c r="BT21" i="12"/>
  <c r="BW19" i="12"/>
  <c r="V17" i="15"/>
  <c r="AP17" i="13"/>
  <c r="J16" i="14"/>
  <c r="H16" i="13"/>
  <c r="AN20" i="13"/>
  <c r="T20" i="15"/>
  <c r="Y16" i="14"/>
  <c r="T16" i="13"/>
  <c r="AR21" i="12"/>
  <c r="A18" i="15"/>
  <c r="Y18" i="13"/>
  <c r="AS20" i="12"/>
  <c r="AD18" i="15"/>
  <c r="AV18" i="13"/>
  <c r="G17" i="14"/>
  <c r="F17" i="13"/>
  <c r="AJ17" i="13"/>
  <c r="O17" i="15"/>
  <c r="BP23" i="12"/>
  <c r="AL21" i="13"/>
  <c r="Q21" i="15"/>
  <c r="AD21" i="12"/>
  <c r="AE20" i="12"/>
  <c r="U18" i="14"/>
  <c r="Q18" i="13"/>
  <c r="AG19" i="12"/>
  <c r="V17" i="14"/>
  <c r="R17" i="13"/>
  <c r="AB16" i="13"/>
  <c r="E16" i="15"/>
  <c r="AU19" i="12"/>
  <c r="B17" i="15"/>
  <c r="Z17" i="13"/>
  <c r="AK22" i="13"/>
  <c r="P22" i="15"/>
  <c r="BM25" i="12"/>
  <c r="BN24" i="12"/>
  <c r="BF22" i="12"/>
  <c r="AG19" i="13"/>
  <c r="K19" i="15"/>
  <c r="BG21" i="12"/>
  <c r="CA23" i="12"/>
  <c r="AS20" i="13"/>
  <c r="Z20" i="15"/>
  <c r="CB22" i="12"/>
  <c r="BI20" i="12"/>
  <c r="L18" i="15"/>
  <c r="AH18" i="13"/>
  <c r="AA19" i="15"/>
  <c r="CD21" i="12"/>
  <c r="AT19" i="13"/>
  <c r="F18" i="14"/>
  <c r="E18" i="13"/>
  <c r="B24" i="1"/>
  <c r="C24" i="1" s="1"/>
  <c r="J16" i="15"/>
  <c r="AF16" i="13"/>
  <c r="E19" i="12"/>
  <c r="B17" i="13"/>
  <c r="B17" i="14"/>
  <c r="S18" i="12"/>
  <c r="L16" i="14"/>
  <c r="J16" i="13"/>
  <c r="AZ20" i="12"/>
  <c r="AY21" i="12"/>
  <c r="AC18" i="13"/>
  <c r="F18" i="15"/>
  <c r="Z18" i="12"/>
  <c r="Q16" i="14"/>
  <c r="N16" i="13"/>
  <c r="AD16" i="14"/>
  <c r="X16" i="13"/>
  <c r="AL20" i="12"/>
  <c r="AK21" i="12"/>
  <c r="Z18" i="14"/>
  <c r="U18" i="13"/>
  <c r="Q19" i="12"/>
  <c r="P20" i="12"/>
  <c r="K17" i="14"/>
  <c r="I17" i="13"/>
  <c r="E16" i="14"/>
  <c r="D16" i="13"/>
  <c r="T15" i="14"/>
  <c r="P15" i="13"/>
  <c r="AA17" i="14"/>
  <c r="AN19" i="12"/>
  <c r="V17" i="13"/>
  <c r="C20" i="12"/>
  <c r="B21" i="12"/>
  <c r="A18" i="13"/>
  <c r="A18" i="14"/>
  <c r="AD17" i="13"/>
  <c r="G17" i="15"/>
  <c r="BB19" i="12"/>
  <c r="O15" i="14"/>
  <c r="L15" i="13"/>
  <c r="W20" i="12"/>
  <c r="X19" i="12"/>
  <c r="P17" i="14"/>
  <c r="M17" i="13"/>
  <c r="BU21" i="12" l="1"/>
  <c r="BT22" i="12"/>
  <c r="U19" i="15"/>
  <c r="AO19" i="13"/>
  <c r="AP18" i="13"/>
  <c r="BW20" i="12"/>
  <c r="V18" i="15"/>
  <c r="AR17" i="13"/>
  <c r="Y17" i="15"/>
  <c r="J17" i="14"/>
  <c r="H17" i="13"/>
  <c r="AB17" i="13"/>
  <c r="E17" i="15"/>
  <c r="R18" i="13"/>
  <c r="AG20" i="12"/>
  <c r="V18" i="14"/>
  <c r="G18" i="14"/>
  <c r="F18" i="13"/>
  <c r="AD19" i="15"/>
  <c r="AV19" i="13"/>
  <c r="AJ18" i="13"/>
  <c r="O18" i="15"/>
  <c r="CA24" i="12"/>
  <c r="AS21" i="13"/>
  <c r="Z21" i="15"/>
  <c r="CB23" i="12"/>
  <c r="BF23" i="12"/>
  <c r="K20" i="15"/>
  <c r="AG20" i="13"/>
  <c r="BG22" i="12"/>
  <c r="T17" i="13"/>
  <c r="Y17" i="14"/>
  <c r="AD22" i="12"/>
  <c r="Q19" i="13"/>
  <c r="U19" i="14"/>
  <c r="AE21" i="12"/>
  <c r="A19" i="15"/>
  <c r="AS21" i="12"/>
  <c r="AR22" i="12"/>
  <c r="Y19" i="13"/>
  <c r="BM26" i="12"/>
  <c r="AK23" i="13"/>
  <c r="P23" i="15"/>
  <c r="BN25" i="12"/>
  <c r="F19" i="14"/>
  <c r="E19" i="13"/>
  <c r="AN21" i="13"/>
  <c r="T21" i="15"/>
  <c r="AA20" i="15"/>
  <c r="AT20" i="13"/>
  <c r="CD22" i="12"/>
  <c r="L19" i="15"/>
  <c r="BI21" i="12"/>
  <c r="AH19" i="13"/>
  <c r="BP24" i="12"/>
  <c r="AL22" i="13"/>
  <c r="Q22" i="15"/>
  <c r="Z18" i="13"/>
  <c r="AU20" i="12"/>
  <c r="B18" i="15"/>
  <c r="B25" i="1"/>
  <c r="C25" i="1" s="1"/>
  <c r="AD17" i="14"/>
  <c r="X17" i="13"/>
  <c r="Q20" i="12"/>
  <c r="P21" i="12"/>
  <c r="K18" i="14"/>
  <c r="I18" i="13"/>
  <c r="Z19" i="12"/>
  <c r="Q17" i="14"/>
  <c r="N17" i="13"/>
  <c r="S19" i="12"/>
  <c r="L17" i="14"/>
  <c r="J17" i="13"/>
  <c r="AN20" i="12"/>
  <c r="AA18" i="14"/>
  <c r="V18" i="13"/>
  <c r="AY22" i="12"/>
  <c r="AC19" i="13"/>
  <c r="F19" i="15"/>
  <c r="AZ21" i="12"/>
  <c r="E17" i="14"/>
  <c r="D17" i="13"/>
  <c r="T16" i="14"/>
  <c r="P16" i="13"/>
  <c r="BB20" i="12"/>
  <c r="AD18" i="13"/>
  <c r="G18" i="15"/>
  <c r="O16" i="14"/>
  <c r="L16" i="13"/>
  <c r="AF17" i="13"/>
  <c r="J17" i="15"/>
  <c r="B18" i="13"/>
  <c r="B18" i="14"/>
  <c r="E20" i="12"/>
  <c r="AL21" i="12"/>
  <c r="AK22" i="12"/>
  <c r="Z19" i="14"/>
  <c r="U19" i="13"/>
  <c r="W21" i="12"/>
  <c r="X20" i="12"/>
  <c r="P18" i="14"/>
  <c r="M18" i="13"/>
  <c r="B22" i="12"/>
  <c r="C21" i="12"/>
  <c r="A19" i="13"/>
  <c r="A19" i="14"/>
  <c r="Y18" i="15" l="1"/>
  <c r="AR18" i="13"/>
  <c r="BT23" i="12"/>
  <c r="U20" i="15"/>
  <c r="AO20" i="13"/>
  <c r="BU22" i="12"/>
  <c r="V19" i="15"/>
  <c r="AP19" i="13"/>
  <c r="BW21" i="12"/>
  <c r="R19" i="13"/>
  <c r="AG21" i="12"/>
  <c r="V19" i="14"/>
  <c r="AJ19" i="13"/>
  <c r="O19" i="15"/>
  <c r="F20" i="14"/>
  <c r="E20" i="13"/>
  <c r="AR23" i="12"/>
  <c r="Y20" i="13"/>
  <c r="AS22" i="12"/>
  <c r="A20" i="15"/>
  <c r="BF24" i="12"/>
  <c r="AG21" i="13"/>
  <c r="K21" i="15"/>
  <c r="BG23" i="12"/>
  <c r="CA25" i="12"/>
  <c r="AS22" i="13"/>
  <c r="Z22" i="15"/>
  <c r="CB24" i="12"/>
  <c r="AB18" i="13"/>
  <c r="E18" i="15"/>
  <c r="G19" i="14"/>
  <c r="F19" i="13"/>
  <c r="Z19" i="13"/>
  <c r="AU21" i="12"/>
  <c r="B19" i="15"/>
  <c r="AH20" i="13"/>
  <c r="L20" i="15"/>
  <c r="BI22" i="12"/>
  <c r="CD23" i="12"/>
  <c r="AA21" i="15"/>
  <c r="AT21" i="13"/>
  <c r="J18" i="14"/>
  <c r="H18" i="13"/>
  <c r="T18" i="13"/>
  <c r="Y18" i="14"/>
  <c r="Q23" i="15"/>
  <c r="BP25" i="12"/>
  <c r="AL23" i="13"/>
  <c r="AN22" i="13"/>
  <c r="T22" i="15"/>
  <c r="AV20" i="13"/>
  <c r="AD20" i="15"/>
  <c r="P24" i="15"/>
  <c r="BN26" i="12"/>
  <c r="AK24" i="13"/>
  <c r="BM27" i="12"/>
  <c r="U20" i="14"/>
  <c r="AD23" i="12"/>
  <c r="AE22" i="12"/>
  <c r="Q20" i="13"/>
  <c r="B26" i="1"/>
  <c r="C26" i="1" s="1"/>
  <c r="X21" i="12"/>
  <c r="W22" i="12"/>
  <c r="P19" i="14"/>
  <c r="M19" i="13"/>
  <c r="O17" i="14"/>
  <c r="L17" i="13"/>
  <c r="B19" i="14"/>
  <c r="B19" i="13"/>
  <c r="E21" i="12"/>
  <c r="AD18" i="14"/>
  <c r="X18" i="13"/>
  <c r="C22" i="12"/>
  <c r="B23" i="12"/>
  <c r="A20" i="14"/>
  <c r="A20" i="13"/>
  <c r="AF18" i="13"/>
  <c r="J18" i="15"/>
  <c r="AZ22" i="12"/>
  <c r="AY23" i="12"/>
  <c r="AC20" i="13"/>
  <c r="F20" i="15"/>
  <c r="S20" i="12"/>
  <c r="L18" i="14"/>
  <c r="J18" i="13"/>
  <c r="AA19" i="14"/>
  <c r="AN21" i="12"/>
  <c r="V19" i="13"/>
  <c r="E18" i="14"/>
  <c r="D18" i="13"/>
  <c r="Q21" i="12"/>
  <c r="P22" i="12"/>
  <c r="K19" i="14"/>
  <c r="I19" i="13"/>
  <c r="Q18" i="14"/>
  <c r="Z20" i="12"/>
  <c r="N18" i="13"/>
  <c r="AL22" i="12"/>
  <c r="AK23" i="12"/>
  <c r="Z20" i="14"/>
  <c r="U20" i="13"/>
  <c r="BB21" i="12"/>
  <c r="AD19" i="13"/>
  <c r="G19" i="15"/>
  <c r="T17" i="14"/>
  <c r="P17" i="13"/>
  <c r="V20" i="15" l="1"/>
  <c r="BW22" i="12"/>
  <c r="AP20" i="13"/>
  <c r="AO21" i="13"/>
  <c r="BT24" i="12"/>
  <c r="U21" i="15"/>
  <c r="BU23" i="12"/>
  <c r="AR19" i="13"/>
  <c r="Y19" i="15"/>
  <c r="AN23" i="13"/>
  <c r="T23" i="15"/>
  <c r="F21" i="14"/>
  <c r="E21" i="13"/>
  <c r="E19" i="15"/>
  <c r="AB19" i="13"/>
  <c r="G20" i="14"/>
  <c r="F20" i="13"/>
  <c r="AV21" i="13"/>
  <c r="AD21" i="15"/>
  <c r="Z20" i="13"/>
  <c r="B20" i="15"/>
  <c r="AU22" i="12"/>
  <c r="BM28" i="12"/>
  <c r="BN27" i="12"/>
  <c r="AK25" i="13"/>
  <c r="P25" i="15"/>
  <c r="R20" i="13"/>
  <c r="AG22" i="12"/>
  <c r="V20" i="14"/>
  <c r="CA26" i="12"/>
  <c r="AS23" i="13"/>
  <c r="Z23" i="15"/>
  <c r="CB25" i="12"/>
  <c r="BF25" i="12"/>
  <c r="K22" i="15"/>
  <c r="AG22" i="13"/>
  <c r="BG24" i="12"/>
  <c r="Y21" i="13"/>
  <c r="A21" i="15"/>
  <c r="AS23" i="12"/>
  <c r="AR24" i="12"/>
  <c r="T19" i="13"/>
  <c r="Y19" i="14"/>
  <c r="J19" i="14"/>
  <c r="H19" i="13"/>
  <c r="O20" i="15"/>
  <c r="AJ20" i="13"/>
  <c r="U21" i="14"/>
  <c r="AD24" i="12"/>
  <c r="Q21" i="13"/>
  <c r="AE23" i="12"/>
  <c r="AL24" i="13"/>
  <c r="BP26" i="12"/>
  <c r="Q24" i="15"/>
  <c r="AT22" i="13"/>
  <c r="CD24" i="12"/>
  <c r="AA22" i="15"/>
  <c r="AH21" i="13"/>
  <c r="BI23" i="12"/>
  <c r="L21" i="15"/>
  <c r="B27" i="1"/>
  <c r="C27" i="1" s="1"/>
  <c r="AD19" i="14"/>
  <c r="X19" i="13"/>
  <c r="C23" i="12"/>
  <c r="B24" i="12"/>
  <c r="A21" i="13"/>
  <c r="A21" i="14"/>
  <c r="W23" i="12"/>
  <c r="X22" i="12"/>
  <c r="P20" i="14"/>
  <c r="M20" i="13"/>
  <c r="AL23" i="12"/>
  <c r="AK24" i="12"/>
  <c r="Z21" i="14"/>
  <c r="U21" i="13"/>
  <c r="AN22" i="12"/>
  <c r="AA20" i="14"/>
  <c r="V20" i="13"/>
  <c r="T18" i="14"/>
  <c r="P18" i="13"/>
  <c r="Q22" i="12"/>
  <c r="P23" i="12"/>
  <c r="K20" i="14"/>
  <c r="I20" i="13"/>
  <c r="E22" i="12"/>
  <c r="B20" i="13"/>
  <c r="B20" i="14"/>
  <c r="E19" i="14"/>
  <c r="D19" i="13"/>
  <c r="Z21" i="12"/>
  <c r="Q19" i="14"/>
  <c r="N19" i="13"/>
  <c r="S21" i="12"/>
  <c r="L19" i="14"/>
  <c r="J19" i="13"/>
  <c r="O18" i="14"/>
  <c r="L18" i="13"/>
  <c r="AY24" i="12"/>
  <c r="AC21" i="13"/>
  <c r="F21" i="15"/>
  <c r="AZ23" i="12"/>
  <c r="J19" i="15"/>
  <c r="AF19" i="13"/>
  <c r="AD20" i="13"/>
  <c r="G20" i="15"/>
  <c r="BB22" i="12"/>
  <c r="BT25" i="12" l="1"/>
  <c r="U22" i="15"/>
  <c r="AO22" i="13"/>
  <c r="BU24" i="12"/>
  <c r="V21" i="15"/>
  <c r="BW23" i="12"/>
  <c r="AP21" i="13"/>
  <c r="Y20" i="15"/>
  <c r="AR20" i="13"/>
  <c r="AV22" i="13"/>
  <c r="AD22" i="15"/>
  <c r="BP27" i="12"/>
  <c r="AL25" i="13"/>
  <c r="Q25" i="15"/>
  <c r="F22" i="14"/>
  <c r="E22" i="13"/>
  <c r="AJ21" i="13"/>
  <c r="O21" i="15"/>
  <c r="BF26" i="12"/>
  <c r="AG23" i="13"/>
  <c r="K23" i="15"/>
  <c r="BG25" i="12"/>
  <c r="CA27" i="12"/>
  <c r="AS24" i="13"/>
  <c r="Z24" i="15"/>
  <c r="CB26" i="12"/>
  <c r="AB20" i="13"/>
  <c r="E20" i="15"/>
  <c r="B21" i="15"/>
  <c r="AU23" i="12"/>
  <c r="Z21" i="13"/>
  <c r="T20" i="13"/>
  <c r="Y20" i="14"/>
  <c r="J20" i="14"/>
  <c r="H20" i="13"/>
  <c r="V21" i="14"/>
  <c r="R21" i="13"/>
  <c r="AG23" i="12"/>
  <c r="BM29" i="12"/>
  <c r="AK26" i="13"/>
  <c r="P26" i="15"/>
  <c r="BN28" i="12"/>
  <c r="G21" i="14"/>
  <c r="F21" i="13"/>
  <c r="AN24" i="13"/>
  <c r="T24" i="15"/>
  <c r="Q22" i="13"/>
  <c r="AD25" i="12"/>
  <c r="AE24" i="12"/>
  <c r="U22" i="14"/>
  <c r="A22" i="15"/>
  <c r="AR25" i="12"/>
  <c r="AS24" i="12"/>
  <c r="Y22" i="13"/>
  <c r="BI24" i="12"/>
  <c r="AH22" i="13"/>
  <c r="L22" i="15"/>
  <c r="AA23" i="15"/>
  <c r="AT23" i="13"/>
  <c r="CD25" i="12"/>
  <c r="B28" i="1"/>
  <c r="C28" i="1" s="1"/>
  <c r="E20" i="14"/>
  <c r="D20" i="13"/>
  <c r="P24" i="12"/>
  <c r="Q23" i="12"/>
  <c r="K21" i="14"/>
  <c r="I21" i="13"/>
  <c r="S22" i="12"/>
  <c r="L20" i="14"/>
  <c r="J20" i="13"/>
  <c r="Z22" i="12"/>
  <c r="Q20" i="14"/>
  <c r="N20" i="13"/>
  <c r="C24" i="12"/>
  <c r="B25" i="12"/>
  <c r="A22" i="13"/>
  <c r="A22" i="14"/>
  <c r="J20" i="15"/>
  <c r="AF20" i="13"/>
  <c r="AD20" i="14"/>
  <c r="X20" i="13"/>
  <c r="AA21" i="14"/>
  <c r="AN23" i="12"/>
  <c r="V21" i="13"/>
  <c r="X23" i="12"/>
  <c r="W24" i="12"/>
  <c r="P21" i="14"/>
  <c r="M21" i="13"/>
  <c r="E23" i="12"/>
  <c r="B21" i="13"/>
  <c r="B21" i="14"/>
  <c r="AD21" i="13"/>
  <c r="G21" i="15"/>
  <c r="BB23" i="12"/>
  <c r="O19" i="14"/>
  <c r="L19" i="13"/>
  <c r="AL24" i="12"/>
  <c r="AK25" i="12"/>
  <c r="Z22" i="14"/>
  <c r="U22" i="13"/>
  <c r="AY25" i="12"/>
  <c r="AZ24" i="12"/>
  <c r="AC22" i="13"/>
  <c r="F22" i="15"/>
  <c r="T19" i="14"/>
  <c r="P19" i="13"/>
  <c r="Y21" i="15" l="1"/>
  <c r="AR21" i="13"/>
  <c r="BW24" i="12"/>
  <c r="V22" i="15"/>
  <c r="AP22" i="13"/>
  <c r="U23" i="15"/>
  <c r="BU25" i="12"/>
  <c r="BT26" i="12"/>
  <c r="AO23" i="13"/>
  <c r="J21" i="14"/>
  <c r="H21" i="13"/>
  <c r="AN25" i="13"/>
  <c r="T25" i="15"/>
  <c r="Z22" i="13"/>
  <c r="AU24" i="12"/>
  <c r="B22" i="15"/>
  <c r="BF27" i="12"/>
  <c r="AG24" i="13"/>
  <c r="K24" i="15"/>
  <c r="BG26" i="12"/>
  <c r="AV23" i="13"/>
  <c r="AD23" i="15"/>
  <c r="A23" i="15"/>
  <c r="AS25" i="12"/>
  <c r="AR26" i="12"/>
  <c r="Y23" i="13"/>
  <c r="AB21" i="13"/>
  <c r="E21" i="15"/>
  <c r="AA24" i="15"/>
  <c r="AT24" i="13"/>
  <c r="CD26" i="12"/>
  <c r="L23" i="15"/>
  <c r="AH23" i="13"/>
  <c r="BI25" i="12"/>
  <c r="G22" i="14"/>
  <c r="F22" i="13"/>
  <c r="O22" i="15"/>
  <c r="AJ22" i="13"/>
  <c r="AK27" i="13"/>
  <c r="BM30" i="12"/>
  <c r="P27" i="15"/>
  <c r="BN29" i="12"/>
  <c r="AE25" i="12"/>
  <c r="AD26" i="12"/>
  <c r="Q23" i="13"/>
  <c r="U23" i="14"/>
  <c r="CA28" i="12"/>
  <c r="Z25" i="15"/>
  <c r="AS25" i="13"/>
  <c r="CB27" i="12"/>
  <c r="AG24" i="12"/>
  <c r="V22" i="14"/>
  <c r="R22" i="13"/>
  <c r="BP28" i="12"/>
  <c r="Q26" i="15"/>
  <c r="AL26" i="13"/>
  <c r="Y21" i="14"/>
  <c r="T21" i="13"/>
  <c r="F23" i="14"/>
  <c r="E23" i="13"/>
  <c r="B29" i="1"/>
  <c r="C29" i="1" s="1"/>
  <c r="AD21" i="14"/>
  <c r="X21" i="13"/>
  <c r="Q24" i="12"/>
  <c r="P25" i="12"/>
  <c r="K22" i="14"/>
  <c r="I22" i="13"/>
  <c r="S23" i="12"/>
  <c r="L21" i="14"/>
  <c r="J21" i="13"/>
  <c r="AL25" i="12"/>
  <c r="AK26" i="12"/>
  <c r="Z23" i="14"/>
  <c r="U23" i="13"/>
  <c r="AN24" i="12"/>
  <c r="AA22" i="14"/>
  <c r="V22" i="13"/>
  <c r="E21" i="14"/>
  <c r="D21" i="13"/>
  <c r="Z23" i="12"/>
  <c r="Q21" i="14"/>
  <c r="N21" i="13"/>
  <c r="O20" i="14"/>
  <c r="L20" i="13"/>
  <c r="BB24" i="12"/>
  <c r="AD22" i="13"/>
  <c r="G22" i="15"/>
  <c r="B22" i="13"/>
  <c r="B22" i="14"/>
  <c r="E24" i="12"/>
  <c r="AY26" i="12"/>
  <c r="AC23" i="13"/>
  <c r="F23" i="15"/>
  <c r="AZ25" i="12"/>
  <c r="AF21" i="13"/>
  <c r="J21" i="15"/>
  <c r="W25" i="12"/>
  <c r="X24" i="12"/>
  <c r="M22" i="13"/>
  <c r="P22" i="14"/>
  <c r="C25" i="12"/>
  <c r="B26" i="12"/>
  <c r="A23" i="13"/>
  <c r="A23" i="14"/>
  <c r="T20" i="14"/>
  <c r="P20" i="13"/>
  <c r="U24" i="15" l="1"/>
  <c r="BT27" i="12"/>
  <c r="BU26" i="12"/>
  <c r="AO24" i="13"/>
  <c r="BW25" i="12"/>
  <c r="V23" i="15"/>
  <c r="AP23" i="13"/>
  <c r="Y22" i="15"/>
  <c r="AR22" i="13"/>
  <c r="Y22" i="14"/>
  <c r="T22" i="13"/>
  <c r="G23" i="14"/>
  <c r="F23" i="13"/>
  <c r="J22" i="14"/>
  <c r="H22" i="13"/>
  <c r="BF28" i="12"/>
  <c r="AG25" i="13"/>
  <c r="K25" i="15"/>
  <c r="BG27" i="12"/>
  <c r="CA29" i="12"/>
  <c r="AS26" i="13"/>
  <c r="Z26" i="15"/>
  <c r="CB28" i="12"/>
  <c r="AG25" i="12"/>
  <c r="V23" i="14"/>
  <c r="R23" i="13"/>
  <c r="B23" i="15"/>
  <c r="AU25" i="12"/>
  <c r="Z23" i="13"/>
  <c r="L24" i="15"/>
  <c r="AH24" i="13"/>
  <c r="BI26" i="12"/>
  <c r="AJ23" i="13"/>
  <c r="O23" i="15"/>
  <c r="T26" i="15"/>
  <c r="AN26" i="13"/>
  <c r="Q24" i="13"/>
  <c r="AD27" i="12"/>
  <c r="AE26" i="12"/>
  <c r="U24" i="14"/>
  <c r="BN30" i="12"/>
  <c r="BM31" i="12"/>
  <c r="AK28" i="13"/>
  <c r="P28" i="15"/>
  <c r="AS26" i="12"/>
  <c r="A24" i="15"/>
  <c r="AR27" i="12"/>
  <c r="Y24" i="13"/>
  <c r="F24" i="14"/>
  <c r="E24" i="13"/>
  <c r="AA25" i="15"/>
  <c r="CD27" i="12"/>
  <c r="AT25" i="13"/>
  <c r="AL27" i="13"/>
  <c r="Q27" i="15"/>
  <c r="BP29" i="12"/>
  <c r="AV24" i="13"/>
  <c r="AD24" i="15"/>
  <c r="E22" i="15"/>
  <c r="AB22" i="13"/>
  <c r="B30" i="1"/>
  <c r="C30" i="1" s="1"/>
  <c r="C26" i="12"/>
  <c r="B27" i="12"/>
  <c r="A24" i="14"/>
  <c r="A24" i="13"/>
  <c r="E22" i="14"/>
  <c r="D22" i="13"/>
  <c r="AL26" i="12"/>
  <c r="AK27" i="12"/>
  <c r="Z24" i="14"/>
  <c r="U24" i="13"/>
  <c r="S24" i="12"/>
  <c r="L22" i="14"/>
  <c r="J22" i="13"/>
  <c r="B23" i="14"/>
  <c r="E25" i="12"/>
  <c r="B23" i="13"/>
  <c r="AZ26" i="12"/>
  <c r="AY27" i="12"/>
  <c r="AC24" i="13"/>
  <c r="F24" i="15"/>
  <c r="T21" i="14"/>
  <c r="P21" i="13"/>
  <c r="AD22" i="14"/>
  <c r="X22" i="13"/>
  <c r="AA23" i="14"/>
  <c r="AN25" i="12"/>
  <c r="V23" i="13"/>
  <c r="O21" i="14"/>
  <c r="L21" i="13"/>
  <c r="Q22" i="14"/>
  <c r="N22" i="13"/>
  <c r="Z24" i="12"/>
  <c r="AD23" i="13"/>
  <c r="G23" i="15"/>
  <c r="BB25" i="12"/>
  <c r="AF22" i="13"/>
  <c r="J22" i="15"/>
  <c r="X25" i="12"/>
  <c r="W26" i="12"/>
  <c r="P23" i="14"/>
  <c r="M23" i="13"/>
  <c r="Q25" i="12"/>
  <c r="P26" i="12"/>
  <c r="K23" i="14"/>
  <c r="I23" i="13"/>
  <c r="AR23" i="13" l="1"/>
  <c r="Y23" i="15"/>
  <c r="AP24" i="13"/>
  <c r="BW26" i="12"/>
  <c r="V24" i="15"/>
  <c r="AO25" i="13"/>
  <c r="BU27" i="12"/>
  <c r="BT28" i="12"/>
  <c r="U25" i="15"/>
  <c r="B24" i="15"/>
  <c r="AU26" i="12"/>
  <c r="Z24" i="13"/>
  <c r="AJ24" i="13"/>
  <c r="O24" i="15"/>
  <c r="CA30" i="12"/>
  <c r="Z27" i="15"/>
  <c r="AS27" i="13"/>
  <c r="CB29" i="12"/>
  <c r="AV25" i="13"/>
  <c r="AD25" i="15"/>
  <c r="AA26" i="15"/>
  <c r="CD28" i="12"/>
  <c r="AT26" i="13"/>
  <c r="L25" i="15"/>
  <c r="BI27" i="12"/>
  <c r="AH25" i="13"/>
  <c r="G24" i="14"/>
  <c r="F24" i="13"/>
  <c r="E23" i="15"/>
  <c r="AB23" i="13"/>
  <c r="BF29" i="12"/>
  <c r="AG26" i="13"/>
  <c r="K26" i="15"/>
  <c r="BG28" i="12"/>
  <c r="AS27" i="12"/>
  <c r="Y25" i="13"/>
  <c r="AR28" i="12"/>
  <c r="A25" i="15"/>
  <c r="AG26" i="12"/>
  <c r="V24" i="14"/>
  <c r="R24" i="13"/>
  <c r="Q28" i="15"/>
  <c r="AL28" i="13"/>
  <c r="BP30" i="12"/>
  <c r="Y23" i="14"/>
  <c r="T23" i="13"/>
  <c r="T27" i="15"/>
  <c r="AN27" i="13"/>
  <c r="F25" i="14"/>
  <c r="E25" i="13"/>
  <c r="P29" i="15"/>
  <c r="AK29" i="13"/>
  <c r="BN31" i="12"/>
  <c r="BM32" i="12"/>
  <c r="Q25" i="13"/>
  <c r="U25" i="14"/>
  <c r="AE27" i="12"/>
  <c r="AD28" i="12"/>
  <c r="J23" i="14"/>
  <c r="H23" i="13"/>
  <c r="B31" i="1"/>
  <c r="C31" i="1" s="1"/>
  <c r="BB26" i="12"/>
  <c r="G24" i="15"/>
  <c r="AD24" i="13"/>
  <c r="Q26" i="12"/>
  <c r="P27" i="12"/>
  <c r="K24" i="14"/>
  <c r="I24" i="13"/>
  <c r="W27" i="12"/>
  <c r="X26" i="12"/>
  <c r="P24" i="14"/>
  <c r="M24" i="13"/>
  <c r="AL27" i="12"/>
  <c r="AK28" i="12"/>
  <c r="Z25" i="14"/>
  <c r="U25" i="13"/>
  <c r="S25" i="12"/>
  <c r="L23" i="14"/>
  <c r="J23" i="13"/>
  <c r="Z25" i="12"/>
  <c r="Q23" i="14"/>
  <c r="N23" i="13"/>
  <c r="E23" i="14"/>
  <c r="D23" i="13"/>
  <c r="O22" i="14"/>
  <c r="L22" i="13"/>
  <c r="AN26" i="12"/>
  <c r="AA24" i="14"/>
  <c r="V24" i="13"/>
  <c r="C27" i="12"/>
  <c r="B28" i="12"/>
  <c r="A25" i="13"/>
  <c r="A25" i="14"/>
  <c r="AF23" i="13"/>
  <c r="J23" i="15"/>
  <c r="T22" i="14"/>
  <c r="P22" i="13"/>
  <c r="AD23" i="14"/>
  <c r="X23" i="13"/>
  <c r="AY28" i="12"/>
  <c r="F25" i="15"/>
  <c r="AC25" i="13"/>
  <c r="AZ27" i="12"/>
  <c r="E26" i="12"/>
  <c r="B24" i="13"/>
  <c r="B24" i="14"/>
  <c r="AP25" i="13" l="1"/>
  <c r="V25" i="15"/>
  <c r="BW27" i="12"/>
  <c r="BT29" i="12"/>
  <c r="U26" i="15"/>
  <c r="AO26" i="13"/>
  <c r="BU28" i="12"/>
  <c r="AR24" i="13"/>
  <c r="Y24" i="15"/>
  <c r="AG27" i="12"/>
  <c r="V25" i="14"/>
  <c r="R25" i="13"/>
  <c r="BP31" i="12"/>
  <c r="AL29" i="13"/>
  <c r="Q29" i="15"/>
  <c r="Y24" i="14"/>
  <c r="T24" i="13"/>
  <c r="AU27" i="12"/>
  <c r="B25" i="15"/>
  <c r="Z25" i="13"/>
  <c r="AH26" i="13"/>
  <c r="L26" i="15"/>
  <c r="BI28" i="12"/>
  <c r="G25" i="14"/>
  <c r="F25" i="13"/>
  <c r="AD26" i="15"/>
  <c r="AV26" i="13"/>
  <c r="AR29" i="12"/>
  <c r="AS28" i="12"/>
  <c r="A26" i="15"/>
  <c r="Y26" i="13"/>
  <c r="AJ25" i="13"/>
  <c r="O25" i="15"/>
  <c r="CA31" i="12"/>
  <c r="AS28" i="13"/>
  <c r="Z28" i="15"/>
  <c r="CB30" i="12"/>
  <c r="AB24" i="13"/>
  <c r="E24" i="15"/>
  <c r="AD29" i="12"/>
  <c r="U26" i="14"/>
  <c r="AE28" i="12"/>
  <c r="Q26" i="13"/>
  <c r="AK30" i="13"/>
  <c r="BN32" i="12"/>
  <c r="P30" i="15"/>
  <c r="BM33" i="12"/>
  <c r="F26" i="14"/>
  <c r="E26" i="13"/>
  <c r="AN28" i="13"/>
  <c r="T28" i="15"/>
  <c r="BF30" i="12"/>
  <c r="AG27" i="13"/>
  <c r="K27" i="15"/>
  <c r="BG29" i="12"/>
  <c r="J24" i="14"/>
  <c r="H24" i="13"/>
  <c r="AA27" i="15"/>
  <c r="AT27" i="13"/>
  <c r="CD29" i="12"/>
  <c r="B32" i="1"/>
  <c r="C32" i="1" s="1"/>
  <c r="Z26" i="12"/>
  <c r="Q24" i="14"/>
  <c r="N24" i="13"/>
  <c r="Q27" i="12"/>
  <c r="P28" i="12"/>
  <c r="K25" i="14"/>
  <c r="I25" i="13"/>
  <c r="AF24" i="13"/>
  <c r="J24" i="15"/>
  <c r="AZ28" i="12"/>
  <c r="AY29" i="12"/>
  <c r="F26" i="15"/>
  <c r="AC26" i="13"/>
  <c r="G25" i="15"/>
  <c r="BB27" i="12"/>
  <c r="AD25" i="13"/>
  <c r="C28" i="12"/>
  <c r="B29" i="12"/>
  <c r="A26" i="13"/>
  <c r="A26" i="14"/>
  <c r="AD24" i="14"/>
  <c r="X24" i="13"/>
  <c r="AL28" i="12"/>
  <c r="AK29" i="12"/>
  <c r="Z26" i="14"/>
  <c r="U26" i="13"/>
  <c r="W28" i="12"/>
  <c r="X27" i="12"/>
  <c r="P25" i="14"/>
  <c r="M25" i="13"/>
  <c r="S26" i="12"/>
  <c r="L24" i="14"/>
  <c r="J24" i="13"/>
  <c r="E24" i="14"/>
  <c r="D24" i="13"/>
  <c r="E27" i="12"/>
  <c r="B25" i="13"/>
  <c r="B25" i="14"/>
  <c r="O23" i="14"/>
  <c r="L23" i="13"/>
  <c r="AA25" i="14"/>
  <c r="AN27" i="12"/>
  <c r="V25" i="13"/>
  <c r="T23" i="14"/>
  <c r="P23" i="13"/>
  <c r="BW28" i="12" l="1"/>
  <c r="V26" i="15"/>
  <c r="AP26" i="13"/>
  <c r="BU29" i="12"/>
  <c r="BT30" i="12"/>
  <c r="AO27" i="13"/>
  <c r="U27" i="15"/>
  <c r="Y25" i="15"/>
  <c r="AR25" i="13"/>
  <c r="G26" i="14"/>
  <c r="F26" i="13"/>
  <c r="BP32" i="12"/>
  <c r="Q30" i="15"/>
  <c r="AL30" i="13"/>
  <c r="AU28" i="12"/>
  <c r="Z26" i="13"/>
  <c r="B26" i="15"/>
  <c r="F27" i="14"/>
  <c r="E27" i="13"/>
  <c r="BN33" i="12"/>
  <c r="BM34" i="12"/>
  <c r="P31" i="15"/>
  <c r="AK31" i="13"/>
  <c r="J25" i="14"/>
  <c r="H25" i="13"/>
  <c r="AN29" i="13"/>
  <c r="T29" i="15"/>
  <c r="BF31" i="12"/>
  <c r="K28" i="15"/>
  <c r="AG28" i="13"/>
  <c r="BG30" i="12"/>
  <c r="CA32" i="12"/>
  <c r="Z29" i="15"/>
  <c r="AS29" i="13"/>
  <c r="CB31" i="12"/>
  <c r="L27" i="15"/>
  <c r="AH27" i="13"/>
  <c r="BI29" i="12"/>
  <c r="O26" i="15"/>
  <c r="AJ26" i="13"/>
  <c r="AV27" i="13"/>
  <c r="AD27" i="15"/>
  <c r="AG28" i="12"/>
  <c r="V26" i="14"/>
  <c r="R26" i="13"/>
  <c r="CD30" i="12"/>
  <c r="AT28" i="13"/>
  <c r="AA28" i="15"/>
  <c r="U27" i="14"/>
  <c r="AD30" i="12"/>
  <c r="AE29" i="12"/>
  <c r="Q27" i="13"/>
  <c r="AS29" i="12"/>
  <c r="AR30" i="12"/>
  <c r="Y27" i="13"/>
  <c r="A27" i="15"/>
  <c r="AB25" i="13"/>
  <c r="E25" i="15"/>
  <c r="Y25" i="14"/>
  <c r="T25" i="13"/>
  <c r="AD25" i="14"/>
  <c r="X25" i="13"/>
  <c r="J25" i="15"/>
  <c r="AF25" i="13"/>
  <c r="AY30" i="12"/>
  <c r="AC27" i="13"/>
  <c r="F27" i="15"/>
  <c r="AZ29" i="12"/>
  <c r="E25" i="14"/>
  <c r="D25" i="13"/>
  <c r="Z27" i="12"/>
  <c r="Q25" i="14"/>
  <c r="N25" i="13"/>
  <c r="B30" i="12"/>
  <c r="C29" i="12"/>
  <c r="A27" i="13"/>
  <c r="A27" i="14"/>
  <c r="AD26" i="13"/>
  <c r="BB28" i="12"/>
  <c r="G26" i="15"/>
  <c r="Q28" i="12"/>
  <c r="P29" i="12"/>
  <c r="K26" i="14"/>
  <c r="I26" i="13"/>
  <c r="T24" i="14"/>
  <c r="P24" i="13"/>
  <c r="AL29" i="12"/>
  <c r="AK30" i="12"/>
  <c r="Z27" i="14"/>
  <c r="U27" i="13"/>
  <c r="AN28" i="12"/>
  <c r="AA26" i="14"/>
  <c r="V26" i="13"/>
  <c r="O24" i="14"/>
  <c r="L24" i="13"/>
  <c r="W29" i="12"/>
  <c r="X28" i="12"/>
  <c r="P26" i="14"/>
  <c r="M26" i="13"/>
  <c r="B26" i="13"/>
  <c r="B26" i="14"/>
  <c r="E28" i="12"/>
  <c r="S27" i="12"/>
  <c r="L25" i="14"/>
  <c r="J25" i="13"/>
  <c r="BT31" i="12" l="1"/>
  <c r="U28" i="15"/>
  <c r="AO28" i="13"/>
  <c r="BU30" i="12"/>
  <c r="V27" i="15"/>
  <c r="AP27" i="13"/>
  <c r="BW29" i="12"/>
  <c r="Y26" i="15"/>
  <c r="AR26" i="13"/>
  <c r="Y26" i="14"/>
  <c r="T26" i="13"/>
  <c r="BI30" i="12"/>
  <c r="AH28" i="13"/>
  <c r="L28" i="15"/>
  <c r="Y28" i="13"/>
  <c r="AR31" i="12"/>
  <c r="AS30" i="12"/>
  <c r="A28" i="15"/>
  <c r="AD28" i="15"/>
  <c r="AV28" i="13"/>
  <c r="P32" i="15"/>
  <c r="BM35" i="12"/>
  <c r="AK32" i="13"/>
  <c r="BN34" i="12"/>
  <c r="F28" i="14"/>
  <c r="E28" i="13"/>
  <c r="B27" i="15"/>
  <c r="Z27" i="13"/>
  <c r="AU29" i="12"/>
  <c r="BP33" i="12"/>
  <c r="AL31" i="13"/>
  <c r="Q31" i="15"/>
  <c r="J26" i="14"/>
  <c r="H26" i="13"/>
  <c r="AG29" i="12"/>
  <c r="V27" i="14"/>
  <c r="R27" i="13"/>
  <c r="CD31" i="12"/>
  <c r="AA29" i="15"/>
  <c r="AT29" i="13"/>
  <c r="T30" i="15"/>
  <c r="AN30" i="13"/>
  <c r="AE30" i="12"/>
  <c r="U28" i="14"/>
  <c r="AD31" i="12"/>
  <c r="Q28" i="13"/>
  <c r="AJ27" i="13"/>
  <c r="O27" i="15"/>
  <c r="AB26" i="13"/>
  <c r="E26" i="15"/>
  <c r="CA33" i="12"/>
  <c r="AS30" i="13"/>
  <c r="Z30" i="15"/>
  <c r="CB32" i="12"/>
  <c r="BF32" i="12"/>
  <c r="AG29" i="13"/>
  <c r="K29" i="15"/>
  <c r="BG31" i="12"/>
  <c r="G27" i="14"/>
  <c r="F27" i="13"/>
  <c r="J26" i="15"/>
  <c r="AF26" i="13"/>
  <c r="C30" i="12"/>
  <c r="B31" i="12"/>
  <c r="A28" i="14"/>
  <c r="A28" i="13"/>
  <c r="AZ30" i="12"/>
  <c r="AY31" i="12"/>
  <c r="AC28" i="13"/>
  <c r="F28" i="15"/>
  <c r="Q26" i="14"/>
  <c r="Z28" i="12"/>
  <c r="N26" i="13"/>
  <c r="AD26" i="14"/>
  <c r="X26" i="13"/>
  <c r="S28" i="12"/>
  <c r="L26" i="14"/>
  <c r="J26" i="13"/>
  <c r="AD27" i="13"/>
  <c r="G27" i="15"/>
  <c r="BB29" i="12"/>
  <c r="O25" i="14"/>
  <c r="L25" i="13"/>
  <c r="AA27" i="14"/>
  <c r="AN29" i="12"/>
  <c r="V27" i="13"/>
  <c r="B27" i="14"/>
  <c r="E29" i="12"/>
  <c r="B27" i="13"/>
  <c r="E26" i="14"/>
  <c r="D26" i="13"/>
  <c r="Q29" i="12"/>
  <c r="P30" i="12"/>
  <c r="K27" i="14"/>
  <c r="I27" i="13"/>
  <c r="X29" i="12"/>
  <c r="W30" i="12"/>
  <c r="P27" i="14"/>
  <c r="M27" i="13"/>
  <c r="AL30" i="12"/>
  <c r="AK31" i="12"/>
  <c r="Z28" i="14"/>
  <c r="U28" i="13"/>
  <c r="T25" i="14"/>
  <c r="P25" i="13"/>
  <c r="V28" i="15" l="1"/>
  <c r="BW30" i="12"/>
  <c r="AP28" i="13"/>
  <c r="AR27" i="13"/>
  <c r="Y27" i="15"/>
  <c r="U29" i="15"/>
  <c r="BU31" i="12"/>
  <c r="BT32" i="12"/>
  <c r="AO29" i="13"/>
  <c r="AJ28" i="13"/>
  <c r="O28" i="15"/>
  <c r="BF33" i="12"/>
  <c r="K30" i="15"/>
  <c r="AG30" i="13"/>
  <c r="BG32" i="12"/>
  <c r="J27" i="14"/>
  <c r="H27" i="13"/>
  <c r="AD32" i="12"/>
  <c r="Q29" i="13"/>
  <c r="AE31" i="12"/>
  <c r="U29" i="14"/>
  <c r="E27" i="15"/>
  <c r="AB27" i="13"/>
  <c r="F29" i="14"/>
  <c r="E29" i="13"/>
  <c r="AU30" i="12"/>
  <c r="B28" i="15"/>
  <c r="Z28" i="13"/>
  <c r="AK33" i="13"/>
  <c r="BN35" i="12"/>
  <c r="P33" i="15"/>
  <c r="Y27" i="14"/>
  <c r="T27" i="13"/>
  <c r="G28" i="14"/>
  <c r="F28" i="13"/>
  <c r="AR32" i="12"/>
  <c r="AS31" i="12"/>
  <c r="Y29" i="13"/>
  <c r="A29" i="15"/>
  <c r="CA34" i="12"/>
  <c r="Z31" i="15"/>
  <c r="AS31" i="13"/>
  <c r="CB33" i="12"/>
  <c r="R28" i="13"/>
  <c r="V28" i="14"/>
  <c r="AG30" i="12"/>
  <c r="AH29" i="13"/>
  <c r="BI31" i="12"/>
  <c r="L29" i="15"/>
  <c r="AT30" i="13"/>
  <c r="CD32" i="12"/>
  <c r="AA30" i="15"/>
  <c r="AV29" i="13"/>
  <c r="AD29" i="15"/>
  <c r="T31" i="15"/>
  <c r="AN31" i="13"/>
  <c r="Q32" i="15"/>
  <c r="BP34" i="12"/>
  <c r="AL32" i="13"/>
  <c r="AL31" i="12"/>
  <c r="AK32" i="12"/>
  <c r="Z29" i="14"/>
  <c r="U29" i="13"/>
  <c r="W31" i="12"/>
  <c r="X30" i="12"/>
  <c r="P28" i="14"/>
  <c r="M28" i="13"/>
  <c r="Z29" i="12"/>
  <c r="N27" i="13"/>
  <c r="Q27" i="14"/>
  <c r="O26" i="14"/>
  <c r="L26" i="13"/>
  <c r="T26" i="14"/>
  <c r="P26" i="13"/>
  <c r="AY32" i="12"/>
  <c r="F29" i="15"/>
  <c r="AC29" i="13"/>
  <c r="AZ31" i="12"/>
  <c r="C31" i="12"/>
  <c r="B32" i="12"/>
  <c r="A29" i="13"/>
  <c r="A29" i="14"/>
  <c r="AN30" i="12"/>
  <c r="AA28" i="14"/>
  <c r="V28" i="13"/>
  <c r="Q30" i="12"/>
  <c r="P31" i="12"/>
  <c r="K28" i="14"/>
  <c r="I28" i="13"/>
  <c r="AD27" i="14"/>
  <c r="X27" i="13"/>
  <c r="AF27" i="13"/>
  <c r="J27" i="15"/>
  <c r="BB30" i="12"/>
  <c r="G28" i="15"/>
  <c r="AD28" i="13"/>
  <c r="E30" i="12"/>
  <c r="B28" i="13"/>
  <c r="B28" i="14"/>
  <c r="S29" i="12"/>
  <c r="L27" i="14"/>
  <c r="J27" i="13"/>
  <c r="E27" i="14"/>
  <c r="D27" i="13"/>
  <c r="BS86" i="12" l="1"/>
  <c r="BS83" i="12"/>
  <c r="BS56" i="12"/>
  <c r="BS49" i="12"/>
  <c r="BS102" i="12"/>
  <c r="BS91" i="12"/>
  <c r="BS74" i="12"/>
  <c r="BS63" i="12"/>
  <c r="BS69" i="12"/>
  <c r="BS76" i="12"/>
  <c r="BS55" i="12"/>
  <c r="BS103" i="12"/>
  <c r="BS51" i="12"/>
  <c r="BS79" i="12"/>
  <c r="BS87" i="12"/>
  <c r="BS53" i="12"/>
  <c r="BS52" i="12"/>
  <c r="BS92" i="12"/>
  <c r="BS68" i="12"/>
  <c r="BS65" i="12"/>
  <c r="BS77" i="12"/>
  <c r="BS80" i="12"/>
  <c r="BS101" i="12"/>
  <c r="BS57" i="12"/>
  <c r="BS97" i="12"/>
  <c r="BS100" i="12"/>
  <c r="BS71" i="12"/>
  <c r="BS62" i="12"/>
  <c r="BS95" i="12"/>
  <c r="BS58" i="12"/>
  <c r="BS64" i="12"/>
  <c r="BS67" i="12"/>
  <c r="BS98" i="12"/>
  <c r="BS89" i="12"/>
  <c r="BS99" i="12"/>
  <c r="BS85" i="12"/>
  <c r="BS93" i="12"/>
  <c r="BS75" i="12"/>
  <c r="BS88" i="12"/>
  <c r="BS82" i="12"/>
  <c r="BS81" i="12"/>
  <c r="BS61" i="12"/>
  <c r="BS70" i="12"/>
  <c r="BS94" i="12"/>
  <c r="BS73" i="12"/>
  <c r="BS59" i="12"/>
  <c r="BS50" i="12"/>
  <c r="BW31" i="12"/>
  <c r="AP29" i="13"/>
  <c r="V29" i="15"/>
  <c r="Y28" i="15"/>
  <c r="AR28" i="13"/>
  <c r="U30" i="15"/>
  <c r="BT33" i="12"/>
  <c r="AO30" i="13"/>
  <c r="BU32" i="12"/>
  <c r="AN32" i="13"/>
  <c r="T32" i="15"/>
  <c r="AS32" i="12"/>
  <c r="Y30" i="13"/>
  <c r="A30" i="15"/>
  <c r="AA31" i="15"/>
  <c r="AT31" i="13"/>
  <c r="CD33" i="12"/>
  <c r="AG31" i="12"/>
  <c r="V29" i="14"/>
  <c r="R29" i="13"/>
  <c r="BF34" i="12"/>
  <c r="AG31" i="13"/>
  <c r="K31" i="15"/>
  <c r="BG33" i="12"/>
  <c r="O29" i="15"/>
  <c r="AJ29" i="13"/>
  <c r="Y28" i="14"/>
  <c r="T28" i="13"/>
  <c r="BS39" i="12"/>
  <c r="BS40" i="12"/>
  <c r="BS45" i="12"/>
  <c r="BS47" i="12"/>
  <c r="BS44" i="12"/>
  <c r="BS38" i="12"/>
  <c r="BS37" i="12"/>
  <c r="BS46" i="12"/>
  <c r="BS41" i="12"/>
  <c r="BS43" i="12"/>
  <c r="Q33" i="15"/>
  <c r="AL33" i="13"/>
  <c r="BP35" i="12"/>
  <c r="E28" i="15"/>
  <c r="AB28" i="13"/>
  <c r="AH30" i="13"/>
  <c r="L30" i="15"/>
  <c r="BI32" i="12"/>
  <c r="CA35" i="12"/>
  <c r="AS32" i="13"/>
  <c r="Z32" i="15"/>
  <c r="CB34" i="12"/>
  <c r="G29" i="14"/>
  <c r="F29" i="13"/>
  <c r="J28" i="14"/>
  <c r="H28" i="13"/>
  <c r="AV30" i="13"/>
  <c r="AD30" i="15"/>
  <c r="B29" i="15"/>
  <c r="AU31" i="12"/>
  <c r="Z29" i="13"/>
  <c r="F30" i="14"/>
  <c r="E30" i="13"/>
  <c r="AD33" i="12"/>
  <c r="AE32" i="12"/>
  <c r="U30" i="14"/>
  <c r="Q30" i="13"/>
  <c r="E28" i="14"/>
  <c r="D28" i="13"/>
  <c r="G29" i="15"/>
  <c r="BB31" i="12"/>
  <c r="AD29" i="13"/>
  <c r="O27" i="14"/>
  <c r="L27" i="13"/>
  <c r="P32" i="12"/>
  <c r="Q31" i="12"/>
  <c r="K29" i="14"/>
  <c r="I29" i="13"/>
  <c r="AD28" i="14"/>
  <c r="X28" i="13"/>
  <c r="C32" i="12"/>
  <c r="B33" i="12"/>
  <c r="A30" i="13"/>
  <c r="A30" i="14"/>
  <c r="T27" i="14"/>
  <c r="P27" i="13"/>
  <c r="Z30" i="12"/>
  <c r="Q28" i="14"/>
  <c r="N28" i="13"/>
  <c r="AL32" i="12"/>
  <c r="AK33" i="12"/>
  <c r="Z30" i="14"/>
  <c r="U30" i="13"/>
  <c r="AF28" i="13"/>
  <c r="J28" i="15"/>
  <c r="S30" i="12"/>
  <c r="L28" i="14"/>
  <c r="J28" i="13"/>
  <c r="E31" i="12"/>
  <c r="B29" i="13"/>
  <c r="B29" i="14"/>
  <c r="AY33" i="12"/>
  <c r="AZ32" i="12"/>
  <c r="F30" i="15"/>
  <c r="AC30" i="13"/>
  <c r="X31" i="12"/>
  <c r="W32" i="12"/>
  <c r="P29" i="14"/>
  <c r="M29" i="13"/>
  <c r="AA29" i="14"/>
  <c r="AN31" i="12"/>
  <c r="V29" i="13"/>
  <c r="AX81" i="12" l="1"/>
  <c r="AX88" i="12"/>
  <c r="AX51" i="12"/>
  <c r="AX89" i="12"/>
  <c r="AX93" i="12"/>
  <c r="AX85" i="12"/>
  <c r="AX52" i="12"/>
  <c r="AX92" i="12"/>
  <c r="AX71" i="12"/>
  <c r="AX91" i="12"/>
  <c r="AX76" i="12"/>
  <c r="AX63" i="12"/>
  <c r="AX75" i="12"/>
  <c r="AX99" i="12"/>
  <c r="AX55" i="12"/>
  <c r="AX57" i="12"/>
  <c r="AX77" i="12"/>
  <c r="AX86" i="12"/>
  <c r="AX103" i="12"/>
  <c r="AX69" i="12"/>
  <c r="AX102" i="12"/>
  <c r="AX49" i="12"/>
  <c r="AX94" i="12"/>
  <c r="AX87" i="12"/>
  <c r="AX59" i="12"/>
  <c r="AX65" i="12"/>
  <c r="AX73" i="12"/>
  <c r="AX101" i="12"/>
  <c r="AX50" i="12"/>
  <c r="AX95" i="12"/>
  <c r="AX70" i="12"/>
  <c r="AX80" i="12"/>
  <c r="AX68" i="12"/>
  <c r="AX62" i="12"/>
  <c r="AX67" i="12"/>
  <c r="AX100" i="12"/>
  <c r="AX53" i="12"/>
  <c r="AX74" i="12"/>
  <c r="AX79" i="12"/>
  <c r="AX83" i="12"/>
  <c r="AX64" i="12"/>
  <c r="AX61" i="12"/>
  <c r="AX56" i="12"/>
  <c r="AX82" i="12"/>
  <c r="AX98" i="12"/>
  <c r="AX97" i="12"/>
  <c r="AX58" i="12"/>
  <c r="BU33" i="12"/>
  <c r="AO31" i="13"/>
  <c r="BT34" i="12"/>
  <c r="U31" i="15"/>
  <c r="BW32" i="12"/>
  <c r="V30" i="15"/>
  <c r="AP30" i="13"/>
  <c r="AR29" i="13"/>
  <c r="Y29" i="15"/>
  <c r="Z33" i="15"/>
  <c r="AS33" i="13"/>
  <c r="CB35" i="12"/>
  <c r="K32" i="15"/>
  <c r="AG32" i="13"/>
  <c r="BG34" i="12"/>
  <c r="AV31" i="13"/>
  <c r="AD31" i="15"/>
  <c r="AE33" i="12"/>
  <c r="AD34" i="12"/>
  <c r="U31" i="14"/>
  <c r="Q31" i="13"/>
  <c r="AA32" i="15"/>
  <c r="CD34" i="12"/>
  <c r="AT32" i="13"/>
  <c r="AJ30" i="13"/>
  <c r="O30" i="15"/>
  <c r="L31" i="15"/>
  <c r="AH31" i="13"/>
  <c r="BI33" i="12"/>
  <c r="AX45" i="12"/>
  <c r="AX38" i="12"/>
  <c r="AX41" i="12"/>
  <c r="AX46" i="12"/>
  <c r="AX40" i="12"/>
  <c r="AX39" i="12"/>
  <c r="AX44" i="12"/>
  <c r="AX37" i="12"/>
  <c r="AX43" i="12"/>
  <c r="AX47" i="12"/>
  <c r="AU32" i="12"/>
  <c r="B30" i="15"/>
  <c r="Z30" i="13"/>
  <c r="V30" i="14"/>
  <c r="AG32" i="12"/>
  <c r="R30" i="13"/>
  <c r="F31" i="14"/>
  <c r="E31" i="13"/>
  <c r="AN33" i="13"/>
  <c r="T33" i="15"/>
  <c r="G30" i="14"/>
  <c r="F30" i="13"/>
  <c r="AB29" i="13"/>
  <c r="E29" i="15"/>
  <c r="J29" i="14"/>
  <c r="H29" i="13"/>
  <c r="Y29" i="14"/>
  <c r="T29" i="13"/>
  <c r="W33" i="12"/>
  <c r="X32" i="12"/>
  <c r="M30" i="13"/>
  <c r="P30" i="14"/>
  <c r="C33" i="12"/>
  <c r="B34" i="12"/>
  <c r="A31" i="13"/>
  <c r="A31" i="14"/>
  <c r="Z31" i="12"/>
  <c r="Q29" i="14"/>
  <c r="N29" i="13"/>
  <c r="E32" i="12"/>
  <c r="B30" i="13"/>
  <c r="B30" i="14"/>
  <c r="E29" i="14"/>
  <c r="D29" i="13"/>
  <c r="S31" i="12"/>
  <c r="L29" i="14"/>
  <c r="J29" i="13"/>
  <c r="AD29" i="14"/>
  <c r="X29" i="13"/>
  <c r="AN32" i="12"/>
  <c r="AA30" i="14"/>
  <c r="V30" i="13"/>
  <c r="J29" i="15"/>
  <c r="AF29" i="13"/>
  <c r="O28" i="14"/>
  <c r="L28" i="13"/>
  <c r="AD30" i="13"/>
  <c r="BB32" i="12"/>
  <c r="G30" i="15"/>
  <c r="AY34" i="12"/>
  <c r="AC31" i="13"/>
  <c r="F31" i="15"/>
  <c r="AZ33" i="12"/>
  <c r="AL33" i="12"/>
  <c r="AK34" i="12"/>
  <c r="Z31" i="14"/>
  <c r="U31" i="13"/>
  <c r="T28" i="14"/>
  <c r="P28" i="13"/>
  <c r="Q32" i="12"/>
  <c r="P33" i="12"/>
  <c r="K30" i="14"/>
  <c r="I30" i="13"/>
  <c r="BL73" i="12" l="1"/>
  <c r="BL57" i="12"/>
  <c r="BL63" i="12"/>
  <c r="BL85" i="12"/>
  <c r="BL82" i="12"/>
  <c r="BL71" i="12"/>
  <c r="BL51" i="12"/>
  <c r="BL62" i="12"/>
  <c r="BL89" i="12"/>
  <c r="BL102" i="12"/>
  <c r="BL81" i="12"/>
  <c r="BL97" i="12"/>
  <c r="BL67" i="12"/>
  <c r="BL75" i="12"/>
  <c r="BL80" i="12"/>
  <c r="BL64" i="12"/>
  <c r="BL59" i="12"/>
  <c r="BL61" i="12"/>
  <c r="BL53" i="12"/>
  <c r="BL70" i="12"/>
  <c r="BL83" i="12"/>
  <c r="BL49" i="12"/>
  <c r="BL52" i="12"/>
  <c r="BL94" i="12"/>
  <c r="BL69" i="12"/>
  <c r="BL88" i="12"/>
  <c r="BL101" i="12"/>
  <c r="BL56" i="12"/>
  <c r="BL76" i="12"/>
  <c r="BL91" i="12"/>
  <c r="BL93" i="12"/>
  <c r="BL50" i="12"/>
  <c r="BL98" i="12"/>
  <c r="BL68" i="12"/>
  <c r="BL58" i="12"/>
  <c r="BL99" i="12"/>
  <c r="BL86" i="12"/>
  <c r="BL65" i="12"/>
  <c r="BL92" i="12"/>
  <c r="BL100" i="12"/>
  <c r="BL79" i="12"/>
  <c r="BL87" i="12"/>
  <c r="BL77" i="12"/>
  <c r="BL95" i="12"/>
  <c r="BL103" i="12"/>
  <c r="BL55" i="12"/>
  <c r="BL74" i="12"/>
  <c r="CG101" i="12"/>
  <c r="CG95" i="12"/>
  <c r="CG74" i="12"/>
  <c r="CG79" i="12"/>
  <c r="CG75" i="12"/>
  <c r="CG80" i="12"/>
  <c r="CG56" i="12"/>
  <c r="CG100" i="12"/>
  <c r="CG69" i="12"/>
  <c r="CG71" i="12"/>
  <c r="CG64" i="12"/>
  <c r="CG67" i="12"/>
  <c r="CG63" i="12"/>
  <c r="CG97" i="12"/>
  <c r="CG51" i="12"/>
  <c r="CG49" i="12"/>
  <c r="CG86" i="12"/>
  <c r="CG57" i="12"/>
  <c r="CG61" i="12"/>
  <c r="CG87" i="12"/>
  <c r="CG50" i="12"/>
  <c r="CG83" i="12"/>
  <c r="CG92" i="12"/>
  <c r="CG103" i="12"/>
  <c r="CG53" i="12"/>
  <c r="CG88" i="12"/>
  <c r="CG82" i="12"/>
  <c r="CG98" i="12"/>
  <c r="CG85" i="12"/>
  <c r="CG52" i="12"/>
  <c r="CG59" i="12"/>
  <c r="CG93" i="12"/>
  <c r="CG68" i="12"/>
  <c r="CG94" i="12"/>
  <c r="CG76" i="12"/>
  <c r="CG58" i="12"/>
  <c r="CG55" i="12"/>
  <c r="CG102" i="12"/>
  <c r="CG77" i="12"/>
  <c r="CG65" i="12"/>
  <c r="CG99" i="12"/>
  <c r="CG73" i="12"/>
  <c r="CG91" i="12"/>
  <c r="CG62" i="12"/>
  <c r="CG70" i="12"/>
  <c r="CG89" i="12"/>
  <c r="CG81" i="12"/>
  <c r="Y30" i="15"/>
  <c r="AR30" i="13"/>
  <c r="BU34" i="12"/>
  <c r="BZ38" i="12" s="1"/>
  <c r="AO32" i="13"/>
  <c r="U32" i="15"/>
  <c r="V31" i="15"/>
  <c r="AP31" i="13"/>
  <c r="BW33" i="12"/>
  <c r="F32" i="14"/>
  <c r="E32" i="13"/>
  <c r="AA33" i="15"/>
  <c r="CD35" i="12"/>
  <c r="AT33" i="13"/>
  <c r="CG43" i="12"/>
  <c r="CG44" i="12"/>
  <c r="CG46" i="12"/>
  <c r="CG38" i="12"/>
  <c r="CG45" i="12"/>
  <c r="CG40" i="12"/>
  <c r="CG39" i="12"/>
  <c r="CG41" i="12"/>
  <c r="CG47" i="12"/>
  <c r="CG37" i="12"/>
  <c r="AD32" i="15"/>
  <c r="AV32" i="13"/>
  <c r="J30" i="14"/>
  <c r="H30" i="13"/>
  <c r="AJ31" i="13"/>
  <c r="O31" i="15"/>
  <c r="Q32" i="13"/>
  <c r="AD35" i="12"/>
  <c r="U32" i="14"/>
  <c r="AE34" i="12"/>
  <c r="L32" i="15"/>
  <c r="BI34" i="12"/>
  <c r="AH32" i="13"/>
  <c r="BL46" i="12"/>
  <c r="BL41" i="12"/>
  <c r="BL39" i="12"/>
  <c r="BL44" i="12"/>
  <c r="BL38" i="12"/>
  <c r="BL40" i="12"/>
  <c r="BL43" i="12"/>
  <c r="BL37" i="12"/>
  <c r="BL47" i="12"/>
  <c r="BL45" i="12"/>
  <c r="G31" i="14"/>
  <c r="F31" i="13"/>
  <c r="T30" i="13"/>
  <c r="Y30" i="14"/>
  <c r="E30" i="15"/>
  <c r="AB30" i="13"/>
  <c r="AG33" i="12"/>
  <c r="V31" i="14"/>
  <c r="R31" i="13"/>
  <c r="G31" i="15"/>
  <c r="AD31" i="13"/>
  <c r="BB33" i="12"/>
  <c r="E30" i="14"/>
  <c r="D30" i="13"/>
  <c r="C34" i="12"/>
  <c r="B35" i="12"/>
  <c r="A32" i="13"/>
  <c r="A32" i="14"/>
  <c r="Q33" i="12"/>
  <c r="P34" i="12"/>
  <c r="K31" i="14"/>
  <c r="I31" i="13"/>
  <c r="J30" i="15"/>
  <c r="AF30" i="13"/>
  <c r="AD30" i="14"/>
  <c r="X30" i="13"/>
  <c r="E33" i="12"/>
  <c r="B31" i="14"/>
  <c r="B31" i="13"/>
  <c r="Q30" i="14"/>
  <c r="Z32" i="12"/>
  <c r="N30" i="13"/>
  <c r="AN33" i="12"/>
  <c r="AA31" i="14"/>
  <c r="V31" i="13"/>
  <c r="AZ34" i="12"/>
  <c r="AY35" i="12"/>
  <c r="F32" i="15"/>
  <c r="AC32" i="13"/>
  <c r="T29" i="14"/>
  <c r="P29" i="13"/>
  <c r="S32" i="12"/>
  <c r="L30" i="14"/>
  <c r="J30" i="13"/>
  <c r="AL34" i="12"/>
  <c r="AK35" i="12"/>
  <c r="Z32" i="14"/>
  <c r="U32" i="13"/>
  <c r="O29" i="14"/>
  <c r="L29" i="13"/>
  <c r="X33" i="12"/>
  <c r="W34" i="12"/>
  <c r="P31" i="14"/>
  <c r="M31" i="13"/>
  <c r="BZ37" i="12" l="1"/>
  <c r="BZ93" i="12"/>
  <c r="BZ64" i="12"/>
  <c r="BZ82" i="12"/>
  <c r="BZ98" i="12"/>
  <c r="BZ74" i="12"/>
  <c r="BZ75" i="12"/>
  <c r="BZ87" i="12"/>
  <c r="BZ55" i="12"/>
  <c r="BZ68" i="12"/>
  <c r="BZ94" i="12"/>
  <c r="BZ102" i="12"/>
  <c r="BZ77" i="12"/>
  <c r="BZ51" i="12"/>
  <c r="BZ79" i="12"/>
  <c r="BZ71" i="12"/>
  <c r="BZ101" i="12"/>
  <c r="BZ99" i="12"/>
  <c r="BZ103" i="12"/>
  <c r="BZ81" i="12"/>
  <c r="BZ100" i="12"/>
  <c r="BZ73" i="12"/>
  <c r="BZ62" i="12"/>
  <c r="BZ76" i="12"/>
  <c r="BZ91" i="12"/>
  <c r="BZ50" i="12"/>
  <c r="BZ95" i="12"/>
  <c r="BZ57" i="12"/>
  <c r="BZ69" i="12"/>
  <c r="BZ85" i="12"/>
  <c r="BZ65" i="12"/>
  <c r="BZ67" i="12"/>
  <c r="BZ49" i="12"/>
  <c r="BZ63" i="12"/>
  <c r="BZ70" i="12"/>
  <c r="BZ58" i="12"/>
  <c r="BZ89" i="12"/>
  <c r="BZ86" i="12"/>
  <c r="BZ97" i="12"/>
  <c r="BZ52" i="12"/>
  <c r="BZ80" i="12"/>
  <c r="BZ56" i="12"/>
  <c r="BZ53" i="12"/>
  <c r="BZ92" i="12"/>
  <c r="BZ61" i="12"/>
  <c r="BZ83" i="12"/>
  <c r="BZ59" i="12"/>
  <c r="BZ88" i="12"/>
  <c r="BZ43" i="12"/>
  <c r="BZ46" i="12"/>
  <c r="BZ44" i="12"/>
  <c r="BZ40" i="12"/>
  <c r="BZ39" i="12"/>
  <c r="BZ47" i="12"/>
  <c r="BZ41" i="12"/>
  <c r="BZ45" i="12"/>
  <c r="AR31" i="13"/>
  <c r="Y31" i="15"/>
  <c r="AP32" i="13"/>
  <c r="V32" i="15"/>
  <c r="BW34" i="12"/>
  <c r="O32" i="15"/>
  <c r="AJ32" i="13"/>
  <c r="Q33" i="13"/>
  <c r="AE35" i="12"/>
  <c r="U33" i="14"/>
  <c r="V32" i="14"/>
  <c r="AG34" i="12"/>
  <c r="R32" i="13"/>
  <c r="G32" i="14"/>
  <c r="O37" i="12"/>
  <c r="O43" i="12"/>
  <c r="O39" i="12"/>
  <c r="O40" i="12"/>
  <c r="O44" i="12"/>
  <c r="O45" i="12"/>
  <c r="O38" i="12"/>
  <c r="O41" i="12"/>
  <c r="O46" i="12"/>
  <c r="O47" i="12"/>
  <c r="F32" i="13"/>
  <c r="T31" i="13"/>
  <c r="Y31" i="14"/>
  <c r="J31" i="14"/>
  <c r="H31" i="13"/>
  <c r="AD33" i="15"/>
  <c r="AV33" i="13"/>
  <c r="Z33" i="12"/>
  <c r="Q31" i="14"/>
  <c r="N31" i="13"/>
  <c r="AN34" i="12"/>
  <c r="AA32" i="14"/>
  <c r="V32" i="13"/>
  <c r="AC33" i="13"/>
  <c r="F33" i="15"/>
  <c r="AZ35" i="12"/>
  <c r="AD31" i="14"/>
  <c r="X31" i="13"/>
  <c r="Q34" i="12"/>
  <c r="P35" i="12"/>
  <c r="K32" i="14"/>
  <c r="I32" i="13"/>
  <c r="C35" i="12"/>
  <c r="A33" i="14"/>
  <c r="A33" i="13"/>
  <c r="AF31" i="13"/>
  <c r="J31" i="15"/>
  <c r="O30" i="14"/>
  <c r="L30" i="13"/>
  <c r="BB34" i="12"/>
  <c r="AD32" i="13"/>
  <c r="G32" i="15"/>
  <c r="S33" i="12"/>
  <c r="L31" i="14"/>
  <c r="J31" i="13"/>
  <c r="B32" i="14"/>
  <c r="E34" i="12"/>
  <c r="B32" i="13"/>
  <c r="X34" i="12"/>
  <c r="P32" i="14"/>
  <c r="M32" i="13"/>
  <c r="AL35" i="12"/>
  <c r="Z33" i="14"/>
  <c r="U33" i="13"/>
  <c r="T30" i="14"/>
  <c r="P30" i="13"/>
  <c r="E31" i="14"/>
  <c r="D31" i="13"/>
  <c r="E31" i="15"/>
  <c r="BE102" i="12" l="1"/>
  <c r="BE49" i="12"/>
  <c r="BE50" i="12"/>
  <c r="BE81" i="12"/>
  <c r="BE103" i="12"/>
  <c r="BE88" i="12"/>
  <c r="BE98" i="12"/>
  <c r="BE69" i="12"/>
  <c r="BE91" i="12"/>
  <c r="BE85" i="12"/>
  <c r="BE95" i="12"/>
  <c r="BE68" i="12"/>
  <c r="BE71" i="12"/>
  <c r="BE56" i="12"/>
  <c r="BE70" i="12"/>
  <c r="BE64" i="12"/>
  <c r="BE100" i="12"/>
  <c r="BE55" i="12"/>
  <c r="BE86" i="12"/>
  <c r="BE97" i="12"/>
  <c r="BE75" i="12"/>
  <c r="BE62" i="12"/>
  <c r="BE57" i="12"/>
  <c r="BE61" i="12"/>
  <c r="BE76" i="12"/>
  <c r="BE79" i="12"/>
  <c r="BE77" i="12"/>
  <c r="BE99" i="12"/>
  <c r="BE80" i="12"/>
  <c r="BE51" i="12"/>
  <c r="BE63" i="12"/>
  <c r="BE58" i="12"/>
  <c r="BE87" i="12"/>
  <c r="BE67" i="12"/>
  <c r="BE101" i="12"/>
  <c r="BE94" i="12"/>
  <c r="BE83" i="12"/>
  <c r="BE53" i="12"/>
  <c r="BE92" i="12"/>
  <c r="BE65" i="12"/>
  <c r="BE74" i="12"/>
  <c r="BE52" i="12"/>
  <c r="BE82" i="12"/>
  <c r="BE89" i="12"/>
  <c r="BE73" i="12"/>
  <c r="BE59" i="12"/>
  <c r="BE93" i="12"/>
  <c r="AC56" i="12"/>
  <c r="AC99" i="12"/>
  <c r="AC93" i="12"/>
  <c r="AC101" i="12"/>
  <c r="AC65" i="12"/>
  <c r="AC98" i="12"/>
  <c r="AC64" i="12"/>
  <c r="AC91" i="12"/>
  <c r="AC81" i="12"/>
  <c r="AC79" i="12"/>
  <c r="AC100" i="12"/>
  <c r="AC94" i="12"/>
  <c r="AC88" i="12"/>
  <c r="AC102" i="12"/>
  <c r="AC86" i="12"/>
  <c r="AC85" i="12"/>
  <c r="AC55" i="12"/>
  <c r="AC73" i="12"/>
  <c r="AC53" i="12"/>
  <c r="AC62" i="12"/>
  <c r="AC75" i="12"/>
  <c r="AC49" i="12"/>
  <c r="AC82" i="12"/>
  <c r="AC103" i="12"/>
  <c r="AC97" i="12"/>
  <c r="AC89" i="12"/>
  <c r="AC67" i="12"/>
  <c r="AC70" i="12"/>
  <c r="AC57" i="12"/>
  <c r="AC51" i="12"/>
  <c r="AC71" i="12"/>
  <c r="AC58" i="12"/>
  <c r="AC95" i="12"/>
  <c r="AC59" i="12"/>
  <c r="AC50" i="12"/>
  <c r="AC74" i="12"/>
  <c r="AC52" i="12"/>
  <c r="AC80" i="12"/>
  <c r="AC63" i="12"/>
  <c r="AC83" i="12"/>
  <c r="AC92" i="12"/>
  <c r="AC61" i="12"/>
  <c r="AC76" i="12"/>
  <c r="AC77" i="12"/>
  <c r="AC69" i="12"/>
  <c r="AC87" i="12"/>
  <c r="AC68" i="12"/>
  <c r="H103" i="12"/>
  <c r="H102" i="12"/>
  <c r="H89" i="12"/>
  <c r="AQ103" i="12"/>
  <c r="AQ74" i="12"/>
  <c r="AQ49" i="12"/>
  <c r="AQ75" i="12"/>
  <c r="AQ55" i="12"/>
  <c r="AQ53" i="12"/>
  <c r="AQ57" i="12"/>
  <c r="AQ63" i="12"/>
  <c r="AQ61" i="12"/>
  <c r="AQ64" i="12"/>
  <c r="AQ89" i="12"/>
  <c r="AQ73" i="12"/>
  <c r="AQ70" i="12"/>
  <c r="AQ68" i="12"/>
  <c r="AQ83" i="12"/>
  <c r="AQ95" i="12"/>
  <c r="AQ94" i="12"/>
  <c r="AQ56" i="12"/>
  <c r="AQ98" i="12"/>
  <c r="AQ79" i="12"/>
  <c r="AQ88" i="12"/>
  <c r="AQ85" i="12"/>
  <c r="AQ59" i="12"/>
  <c r="AQ86" i="12"/>
  <c r="AQ81" i="12"/>
  <c r="AQ51" i="12"/>
  <c r="AQ100" i="12"/>
  <c r="AQ69" i="12"/>
  <c r="AQ91" i="12"/>
  <c r="AQ97" i="12"/>
  <c r="AQ92" i="12"/>
  <c r="AQ65" i="12"/>
  <c r="AQ71" i="12"/>
  <c r="AQ87" i="12"/>
  <c r="AQ93" i="12"/>
  <c r="AQ99" i="12"/>
  <c r="AQ50" i="12"/>
  <c r="AQ80" i="12"/>
  <c r="AQ52" i="12"/>
  <c r="AQ67" i="12"/>
  <c r="AQ101" i="12"/>
  <c r="AQ82" i="12"/>
  <c r="AQ58" i="12"/>
  <c r="AQ102" i="12"/>
  <c r="AQ76" i="12"/>
  <c r="AQ77" i="12"/>
  <c r="AQ62" i="12"/>
  <c r="AJ80" i="12"/>
  <c r="AJ92" i="12"/>
  <c r="AJ69" i="12"/>
  <c r="AJ65" i="12"/>
  <c r="AJ77" i="12"/>
  <c r="AJ61" i="12"/>
  <c r="AJ87" i="12"/>
  <c r="AJ103" i="12"/>
  <c r="AJ82" i="12"/>
  <c r="AJ98" i="12"/>
  <c r="AJ55" i="12"/>
  <c r="AJ95" i="12"/>
  <c r="AJ101" i="12"/>
  <c r="AJ76" i="12"/>
  <c r="AJ57" i="12"/>
  <c r="AJ59" i="12"/>
  <c r="AJ100" i="12"/>
  <c r="AJ89" i="12"/>
  <c r="AJ102" i="12"/>
  <c r="AJ74" i="12"/>
  <c r="AJ85" i="12"/>
  <c r="AJ88" i="12"/>
  <c r="AJ67" i="12"/>
  <c r="AJ52" i="12"/>
  <c r="AJ62" i="12"/>
  <c r="AJ49" i="12"/>
  <c r="AJ64" i="12"/>
  <c r="AJ51" i="12"/>
  <c r="AJ73" i="12"/>
  <c r="AJ94" i="12"/>
  <c r="AJ99" i="12"/>
  <c r="AJ83" i="12"/>
  <c r="AJ86" i="12"/>
  <c r="AJ93" i="12"/>
  <c r="AJ70" i="12"/>
  <c r="AJ81" i="12"/>
  <c r="AJ68" i="12"/>
  <c r="AJ79" i="12"/>
  <c r="AJ63" i="12"/>
  <c r="AJ58" i="12"/>
  <c r="AJ97" i="12"/>
  <c r="AJ91" i="12"/>
  <c r="AJ56" i="12"/>
  <c r="AJ71" i="12"/>
  <c r="AJ50" i="12"/>
  <c r="AJ75" i="12"/>
  <c r="AJ53" i="12"/>
  <c r="H68" i="12"/>
  <c r="H101" i="12"/>
  <c r="H99" i="12"/>
  <c r="H56" i="12"/>
  <c r="H59" i="12"/>
  <c r="H65" i="12"/>
  <c r="H97" i="12"/>
  <c r="H49" i="12"/>
  <c r="H98" i="12"/>
  <c r="H64" i="12"/>
  <c r="H100" i="12"/>
  <c r="H55" i="12"/>
  <c r="H70" i="12"/>
  <c r="H63" i="12"/>
  <c r="H57" i="12"/>
  <c r="H52" i="12"/>
  <c r="H67" i="12"/>
  <c r="H62" i="12"/>
  <c r="H50" i="12"/>
  <c r="H53" i="12"/>
  <c r="H71" i="12"/>
  <c r="H51" i="12"/>
  <c r="H69" i="12"/>
  <c r="H58" i="12"/>
  <c r="H61" i="12"/>
  <c r="H95" i="12"/>
  <c r="H79" i="12"/>
  <c r="H94" i="12"/>
  <c r="H86" i="12"/>
  <c r="H76" i="12"/>
  <c r="H85" i="12"/>
  <c r="H88" i="12"/>
  <c r="H92" i="12"/>
  <c r="H80" i="12"/>
  <c r="H82" i="12"/>
  <c r="H73" i="12"/>
  <c r="H93" i="12"/>
  <c r="H75" i="12"/>
  <c r="H74" i="12"/>
  <c r="H83" i="12"/>
  <c r="H91" i="12"/>
  <c r="H81" i="12"/>
  <c r="H77" i="12"/>
  <c r="H87" i="12"/>
  <c r="AR32" i="13"/>
  <c r="Y32" i="15"/>
  <c r="Y32" i="14"/>
  <c r="T32" i="13"/>
  <c r="AJ39" i="12"/>
  <c r="AJ46" i="12"/>
  <c r="AJ40" i="12"/>
  <c r="AJ44" i="12"/>
  <c r="AJ37" i="12"/>
  <c r="AJ38" i="12"/>
  <c r="AJ43" i="12"/>
  <c r="AJ45" i="12"/>
  <c r="AJ47" i="12"/>
  <c r="AJ41" i="12"/>
  <c r="R33" i="13"/>
  <c r="AG35" i="12"/>
  <c r="V33" i="14"/>
  <c r="H44" i="12"/>
  <c r="H47" i="12"/>
  <c r="H45" i="12"/>
  <c r="H46" i="12"/>
  <c r="H40" i="12"/>
  <c r="H38" i="12"/>
  <c r="H39" i="12"/>
  <c r="H37" i="12"/>
  <c r="H43" i="12"/>
  <c r="H41" i="12"/>
  <c r="AC45" i="12"/>
  <c r="AC46" i="12"/>
  <c r="AC43" i="12"/>
  <c r="AC44" i="12"/>
  <c r="AC41" i="12"/>
  <c r="AC39" i="12"/>
  <c r="AC47" i="12"/>
  <c r="AC37" i="12"/>
  <c r="AC38" i="12"/>
  <c r="AC40" i="12"/>
  <c r="AQ39" i="12"/>
  <c r="AQ38" i="12"/>
  <c r="AQ43" i="12"/>
  <c r="AQ47" i="12"/>
  <c r="AQ45" i="12"/>
  <c r="AQ41" i="12"/>
  <c r="AQ46" i="12"/>
  <c r="AQ44" i="12"/>
  <c r="AQ37" i="12"/>
  <c r="AQ40" i="12"/>
  <c r="BE38" i="12"/>
  <c r="BE47" i="12"/>
  <c r="BE45" i="12"/>
  <c r="BE41" i="12"/>
  <c r="BE46" i="12"/>
  <c r="BE37" i="12"/>
  <c r="BE44" i="12"/>
  <c r="BE43" i="12"/>
  <c r="BE39" i="12"/>
  <c r="BE40" i="12"/>
  <c r="J32" i="14"/>
  <c r="H32" i="13"/>
  <c r="O31" i="14"/>
  <c r="L31" i="13"/>
  <c r="S34" i="12"/>
  <c r="L32" i="14"/>
  <c r="J32" i="13"/>
  <c r="J32" i="15"/>
  <c r="AF32" i="13"/>
  <c r="Z34" i="12"/>
  <c r="Q32" i="14"/>
  <c r="N32" i="13"/>
  <c r="E32" i="14"/>
  <c r="D32" i="13"/>
  <c r="E35" i="12"/>
  <c r="B33" i="13"/>
  <c r="B33" i="14"/>
  <c r="AD32" i="14"/>
  <c r="X32" i="13"/>
  <c r="AN35" i="12"/>
  <c r="AA33" i="14"/>
  <c r="V33" i="13"/>
  <c r="Q35" i="12"/>
  <c r="K33" i="14"/>
  <c r="I33" i="13"/>
  <c r="BB35" i="12"/>
  <c r="G33" i="15"/>
  <c r="AD33" i="13"/>
  <c r="T31" i="14"/>
  <c r="P31" i="13"/>
  <c r="V103" i="12" l="1"/>
  <c r="CJ103" i="12" s="1"/>
  <c r="CL5" i="1" s="1"/>
  <c r="V65" i="12"/>
  <c r="CJ65" i="12" s="1"/>
  <c r="AN5" i="1" s="1"/>
  <c r="V49" i="12"/>
  <c r="V74" i="12"/>
  <c r="CJ74" i="12" s="1"/>
  <c r="BA5" i="1" s="1"/>
  <c r="BA34" i="1" s="1"/>
  <c r="V89" i="12"/>
  <c r="CJ89" i="12" s="1"/>
  <c r="BT5" i="1" s="1"/>
  <c r="V68" i="12"/>
  <c r="V88" i="12"/>
  <c r="V75" i="12"/>
  <c r="CJ75" i="12" s="1"/>
  <c r="BB5" i="1" s="1"/>
  <c r="BB34" i="1" s="1"/>
  <c r="V57" i="12"/>
  <c r="CJ57" i="12" s="1"/>
  <c r="AD5" i="1" s="1"/>
  <c r="V87" i="12"/>
  <c r="V64" i="12"/>
  <c r="V62" i="12"/>
  <c r="CJ62" i="12" s="1"/>
  <c r="AK5" i="1" s="1"/>
  <c r="AK36" i="1" s="1"/>
  <c r="V80" i="12"/>
  <c r="V97" i="12"/>
  <c r="CJ97" i="12" s="1"/>
  <c r="CF5" i="1" s="1"/>
  <c r="CF34" i="1" s="1"/>
  <c r="V79" i="12"/>
  <c r="CJ79" i="12" s="1"/>
  <c r="BH5" i="1" s="1"/>
  <c r="V37" i="12"/>
  <c r="CJ37" i="12" s="1"/>
  <c r="D5" i="1" s="1"/>
  <c r="V101" i="12"/>
  <c r="CJ101" i="12" s="1"/>
  <c r="CJ5" i="1" s="1"/>
  <c r="V86" i="12"/>
  <c r="V100" i="12"/>
  <c r="V58" i="12"/>
  <c r="CJ58" i="12" s="1"/>
  <c r="AE5" i="1" s="1"/>
  <c r="AE34" i="1" s="1"/>
  <c r="V102" i="12"/>
  <c r="CJ102" i="12" s="1"/>
  <c r="CK5" i="1" s="1"/>
  <c r="V85" i="12"/>
  <c r="CJ85" i="12" s="1"/>
  <c r="BP5" i="1" s="1"/>
  <c r="V55" i="12"/>
  <c r="CJ55" i="12" s="1"/>
  <c r="AB5" i="1" s="1"/>
  <c r="AB34" i="1" s="1"/>
  <c r="V98" i="12"/>
  <c r="CJ98" i="12" s="1"/>
  <c r="CG5" i="1" s="1"/>
  <c r="CG34" i="1" s="1"/>
  <c r="V67" i="12"/>
  <c r="CJ67" i="12" s="1"/>
  <c r="AR5" i="1" s="1"/>
  <c r="AR34" i="1" s="1"/>
  <c r="V77" i="12"/>
  <c r="V83" i="12"/>
  <c r="V91" i="12"/>
  <c r="CJ91" i="12" s="1"/>
  <c r="BX5" i="1" s="1"/>
  <c r="BX36" i="1" s="1"/>
  <c r="V56" i="12"/>
  <c r="V71" i="12"/>
  <c r="CJ71" i="12" s="1"/>
  <c r="AV5" i="1" s="1"/>
  <c r="AV36" i="1" s="1"/>
  <c r="V73" i="12"/>
  <c r="CJ73" i="12" s="1"/>
  <c r="AZ5" i="1" s="1"/>
  <c r="AZ34" i="1" s="1"/>
  <c r="V59" i="12"/>
  <c r="CJ59" i="12" s="1"/>
  <c r="AF5" i="1" s="1"/>
  <c r="V95" i="12"/>
  <c r="CJ95" i="12" s="1"/>
  <c r="CB5" i="1" s="1"/>
  <c r="V93" i="12"/>
  <c r="CJ93" i="12" s="1"/>
  <c r="BZ5" i="1" s="1"/>
  <c r="V99" i="12"/>
  <c r="CJ99" i="12" s="1"/>
  <c r="CH5" i="1" s="1"/>
  <c r="V63" i="12"/>
  <c r="CJ63" i="12" s="1"/>
  <c r="AL5" i="1" s="1"/>
  <c r="V70" i="12"/>
  <c r="V76" i="12"/>
  <c r="CJ76" i="12" s="1"/>
  <c r="BC5" i="1" s="1"/>
  <c r="V81" i="12"/>
  <c r="CJ81" i="12" s="1"/>
  <c r="BJ5" i="1" s="1"/>
  <c r="BJ34" i="1" s="1"/>
  <c r="V61" i="12"/>
  <c r="CJ61" i="12" s="1"/>
  <c r="AJ5" i="1" s="1"/>
  <c r="AJ36" i="1" s="1"/>
  <c r="V82" i="12"/>
  <c r="CJ82" i="12" s="1"/>
  <c r="BK5" i="1" s="1"/>
  <c r="BK34" i="1" s="1"/>
  <c r="V69" i="12"/>
  <c r="CJ69" i="12" s="1"/>
  <c r="AT5" i="1" s="1"/>
  <c r="V94" i="12"/>
  <c r="CJ94" i="12" s="1"/>
  <c r="CA5" i="1" s="1"/>
  <c r="V92" i="12"/>
  <c r="CJ92" i="12" s="1"/>
  <c r="BY5" i="1" s="1"/>
  <c r="CJ87" i="12"/>
  <c r="BR5" i="1" s="1"/>
  <c r="BR34" i="1" s="1"/>
  <c r="CJ86" i="12"/>
  <c r="BQ5" i="1" s="1"/>
  <c r="BQ36" i="1" s="1"/>
  <c r="CJ70" i="12"/>
  <c r="AU5" i="1" s="1"/>
  <c r="AU34" i="1" s="1"/>
  <c r="CJ77" i="12"/>
  <c r="BD5" i="1" s="1"/>
  <c r="BD34" i="1" s="1"/>
  <c r="CJ56" i="12"/>
  <c r="AC5" i="1" s="1"/>
  <c r="AC34" i="1" s="1"/>
  <c r="CJ80" i="12"/>
  <c r="BI5" i="1" s="1"/>
  <c r="BI36" i="1" s="1"/>
  <c r="CJ100" i="12"/>
  <c r="CI5" i="1" s="1"/>
  <c r="CI34" i="1" s="1"/>
  <c r="CJ64" i="12"/>
  <c r="AM5" i="1" s="1"/>
  <c r="AM34" i="1" s="1"/>
  <c r="CJ83" i="12"/>
  <c r="BL5" i="1" s="1"/>
  <c r="BL34" i="1" s="1"/>
  <c r="CJ68" i="12"/>
  <c r="AS5" i="1" s="1"/>
  <c r="AS34" i="1" s="1"/>
  <c r="CJ88" i="12"/>
  <c r="BS5" i="1" s="1"/>
  <c r="BS36" i="1" s="1"/>
  <c r="CJ49" i="12"/>
  <c r="T5" i="1" s="1"/>
  <c r="T34" i="1" s="1"/>
  <c r="V52" i="12"/>
  <c r="CJ52" i="12" s="1"/>
  <c r="W5" i="1" s="1"/>
  <c r="W34" i="1" s="1"/>
  <c r="V53" i="12"/>
  <c r="CJ53" i="12" s="1"/>
  <c r="X5" i="1" s="1"/>
  <c r="V51" i="12"/>
  <c r="CJ51" i="12" s="1"/>
  <c r="V5" i="1" s="1"/>
  <c r="V50" i="12"/>
  <c r="CJ50" i="12" s="1"/>
  <c r="U5" i="1" s="1"/>
  <c r="Y33" i="14"/>
  <c r="T33" i="13"/>
  <c r="V45" i="12"/>
  <c r="CJ45" i="12" s="1"/>
  <c r="N5" i="1" s="1"/>
  <c r="V41" i="12"/>
  <c r="CJ41" i="12" s="1"/>
  <c r="H5" i="1" s="1"/>
  <c r="V39" i="12"/>
  <c r="CJ39" i="12" s="1"/>
  <c r="F5" i="1" s="1"/>
  <c r="V46" i="12"/>
  <c r="CJ46" i="12" s="1"/>
  <c r="O5" i="1" s="1"/>
  <c r="V38" i="12"/>
  <c r="CJ38" i="12" s="1"/>
  <c r="E5" i="1" s="1"/>
  <c r="V47" i="12"/>
  <c r="CJ47" i="12" s="1"/>
  <c r="P5" i="1" s="1"/>
  <c r="V40" i="12"/>
  <c r="CJ40" i="12" s="1"/>
  <c r="G5" i="1" s="1"/>
  <c r="V43" i="12"/>
  <c r="CJ43" i="12" s="1"/>
  <c r="L5" i="1" s="1"/>
  <c r="V44" i="12"/>
  <c r="CJ44" i="12" s="1"/>
  <c r="M5" i="1" s="1"/>
  <c r="T32" i="14"/>
  <c r="P32" i="13"/>
  <c r="S35" i="12"/>
  <c r="L33" i="14"/>
  <c r="J33" i="13"/>
  <c r="AD33" i="14"/>
  <c r="X33" i="13"/>
  <c r="E33" i="14"/>
  <c r="D33" i="13"/>
  <c r="O32" i="14"/>
  <c r="L32" i="13"/>
  <c r="AF33" i="13"/>
  <c r="J33" i="15"/>
  <c r="BH34" i="1" l="1"/>
  <c r="BH36" i="1"/>
  <c r="CH34" i="1"/>
  <c r="CH36" i="1"/>
  <c r="AC36" i="1"/>
  <c r="CI36" i="1"/>
  <c r="T36" i="1"/>
  <c r="BD36" i="1"/>
  <c r="BI34" i="1"/>
  <c r="CJ34" i="1"/>
  <c r="CJ36" i="1"/>
  <c r="CF36" i="1"/>
  <c r="BR36" i="1"/>
  <c r="CA34" i="1"/>
  <c r="CA36" i="1"/>
  <c r="AF34" i="1"/>
  <c r="AF36" i="1"/>
  <c r="BS34" i="1"/>
  <c r="BJ36" i="1"/>
  <c r="AZ36" i="1"/>
  <c r="AE36" i="1"/>
  <c r="AS36" i="1"/>
  <c r="AR36" i="1"/>
  <c r="AK34" i="1"/>
  <c r="BL36" i="1"/>
  <c r="BQ34" i="1"/>
  <c r="AJ34" i="1"/>
  <c r="AU36" i="1"/>
  <c r="CG36" i="1"/>
  <c r="BB36" i="1"/>
  <c r="BA36" i="1"/>
  <c r="AM36" i="1"/>
  <c r="AB36" i="1"/>
  <c r="BC34" i="1"/>
  <c r="BC36" i="1"/>
  <c r="BP36" i="1"/>
  <c r="BP34" i="1"/>
  <c r="BT36" i="1"/>
  <c r="BT34" i="1"/>
  <c r="AL36" i="1"/>
  <c r="AL34" i="1"/>
  <c r="BY34" i="1"/>
  <c r="BY36" i="1"/>
  <c r="CK36" i="1"/>
  <c r="CK34" i="1"/>
  <c r="AT36" i="1"/>
  <c r="AT34" i="1"/>
  <c r="BZ34" i="1"/>
  <c r="BZ36" i="1"/>
  <c r="AN34" i="1"/>
  <c r="AN36" i="1"/>
  <c r="CB36" i="1"/>
  <c r="CB34" i="1"/>
  <c r="AD34" i="1"/>
  <c r="AD36" i="1"/>
  <c r="CL36" i="1"/>
  <c r="CL34" i="1"/>
  <c r="BX34" i="1"/>
  <c r="AV34" i="1"/>
  <c r="BK36" i="1"/>
  <c r="U34" i="1"/>
  <c r="U36" i="1"/>
  <c r="V36" i="1"/>
  <c r="V34" i="1"/>
  <c r="X36" i="1"/>
  <c r="X34" i="1"/>
  <c r="W36" i="1"/>
  <c r="P36" i="1"/>
  <c r="P34" i="1"/>
  <c r="D34" i="1"/>
  <c r="D36" i="1"/>
  <c r="E34" i="1"/>
  <c r="E36" i="1"/>
  <c r="F34" i="1"/>
  <c r="F36" i="1"/>
  <c r="O36" i="1"/>
  <c r="O34" i="1"/>
  <c r="H36" i="1"/>
  <c r="H34" i="1"/>
  <c r="N36" i="1"/>
  <c r="N34" i="1"/>
  <c r="M34" i="1"/>
  <c r="M36" i="1"/>
  <c r="L34" i="1"/>
  <c r="L36" i="1"/>
  <c r="G36" i="1"/>
  <c r="G34" i="1"/>
  <c r="K44" i="14"/>
  <c r="K45" i="15"/>
  <c r="O44" i="13"/>
  <c r="E42" i="15"/>
  <c r="E41" i="14"/>
  <c r="G41" i="13"/>
  <c r="K42" i="14"/>
  <c r="K43" i="15"/>
  <c r="O42" i="13"/>
  <c r="E45" i="15"/>
  <c r="G44" i="13"/>
  <c r="E44" i="14"/>
  <c r="K45" i="14"/>
  <c r="K46" i="15"/>
  <c r="O45" i="13"/>
  <c r="E44" i="15"/>
  <c r="E43" i="14"/>
  <c r="G43" i="13"/>
  <c r="O33" i="14"/>
  <c r="L33" i="13"/>
  <c r="E46" i="15"/>
  <c r="E45" i="14"/>
  <c r="G45" i="13"/>
  <c r="K42" i="15"/>
  <c r="K41" i="14"/>
  <c r="O41" i="13"/>
  <c r="K44" i="15"/>
  <c r="K43" i="14"/>
  <c r="O43" i="13"/>
  <c r="E43" i="15"/>
  <c r="E42" i="14"/>
  <c r="G42" i="13"/>
  <c r="CM34" i="1" l="1"/>
  <c r="G11" i="4" s="1"/>
  <c r="CM36" i="1"/>
  <c r="G12" i="4" s="1"/>
  <c r="G13" i="4" l="1"/>
  <c r="G31" i="4" s="1"/>
  <c r="G3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tc={5B0E033D-D670-F642-86FE-8C85A84C9E61}</author>
  </authors>
  <commentList>
    <comment ref="B6" authorId="0" shapeId="0" xr:uid="{5B0E033D-D670-F642-86FE-8C85A84C9E61}">
      <text>
        <t>[Trådet kommentar]
Din version af Excel lader dig læse denne trådede kommentar. Eventuelle ændringer vil dog blive fjernet, hvis filen åbnes i en nyere version af Excel. Få mere at vide: https://go.microsoft.com/fwlink/?linkid=870924
Kommentar:
    Klokkeslet fra tastes som feks. 06:30. Da excel kan opføre sig forskelligt kan det også være det er 06.30</t>
      </text>
    </comment>
  </commentList>
</comments>
</file>

<file path=xl/sharedStrings.xml><?xml version="1.0" encoding="utf-8"?>
<sst xmlns="http://schemas.openxmlformats.org/spreadsheetml/2006/main" count="2761" uniqueCount="277">
  <si>
    <t>Kerneopgaver minutter</t>
    <phoneticPr fontId="16"/>
  </si>
  <si>
    <t>Øvrige opgaver minutter</t>
    <phoneticPr fontId="16"/>
  </si>
  <si>
    <t>Udfyld kun gule felter.</t>
  </si>
  <si>
    <t>Nettoarbejdstid</t>
  </si>
  <si>
    <r>
      <t xml:space="preserve">Hvis man </t>
    </r>
    <r>
      <rPr>
        <i/>
        <sz val="12"/>
        <rFont val="Helv"/>
      </rPr>
      <t>vil</t>
    </r>
    <r>
      <rPr>
        <sz val="12"/>
        <rFont val="Helv"/>
      </rPr>
      <t xml:space="preserve"> skrive i andet end gule felter, skal man først fjerne arkbeskyttelsen.</t>
    </r>
  </si>
  <si>
    <t>Det gælder også, hvis man vil redigere kolonnebredder mv.</t>
  </si>
  <si>
    <t>Mandag</t>
  </si>
  <si>
    <t>fra</t>
  </si>
  <si>
    <t>min.</t>
  </si>
  <si>
    <t>Arb.tid i alt</t>
  </si>
  <si>
    <t>Tirsdag</t>
  </si>
  <si>
    <t>Onsdag</t>
  </si>
  <si>
    <t>Torsdag</t>
  </si>
  <si>
    <t>Fredag</t>
  </si>
  <si>
    <t>VEJLEDNING</t>
  </si>
  <si>
    <t>Øvrige opgaver I alt:</t>
    <phoneticPr fontId="25" type="noConversion"/>
  </si>
  <si>
    <t>Her skelnes mellem kerneopgaver og øvrige opgaver, hvormed der især menes møder.</t>
  </si>
  <si>
    <t>Skriv her en tekst til disse uger(feks. alm. Skoleuger):</t>
  </si>
  <si>
    <t>Skriv her en tekst der beskriver disse uger(Feks uge nr.):</t>
  </si>
  <si>
    <t xml:space="preserve">Perioden indeholder </t>
  </si>
  <si>
    <t>Periodens samlede arbejdstid</t>
  </si>
  <si>
    <t xml:space="preserve">Angiv hvor mange dage, der ifølge skolens kalender er, for den valgte periode(Et helt skoleår eller en del af et skoleår). </t>
  </si>
  <si>
    <t>Antal dage</t>
  </si>
  <si>
    <t>Heraf antal lørdag og søndage</t>
  </si>
  <si>
    <t>Antal søgne/helligdage</t>
  </si>
  <si>
    <t>Antal feriedage i perioden</t>
  </si>
  <si>
    <t>Har skolen tiltrådt overenskomst med BUPL eller følger skolen overenskomsten?</t>
  </si>
  <si>
    <t>JA</t>
  </si>
  <si>
    <t>Nej</t>
  </si>
  <si>
    <t>x</t>
  </si>
  <si>
    <t>Periodens samlede arbejdstid med BUPL OK eller hvis den følges</t>
  </si>
  <si>
    <t>BUPL-OK(eller denne følges)</t>
  </si>
  <si>
    <t>Arbejdstiden for en fuldtidsnorm beregnes ud fra de faktiske antal arbejdsdage i normperioden. Dette varierer fra skoleår til skoleår.</t>
  </si>
  <si>
    <t>Aftalt fast årsnorm</t>
  </si>
  <si>
    <t>Oplys her med et "x" hvorvidt skolen har tiltrådt overenskomst med BUPL/følger overenskomsten eller om skolen i ansættelsesbrevet har aftalt en fast årsnorm.</t>
  </si>
  <si>
    <t>SAMLING:</t>
  </si>
  <si>
    <t>Timer til TR-funktion</t>
  </si>
  <si>
    <t>Andre opgaver(evt. aftalt akkorder)</t>
  </si>
  <si>
    <t>Overskriv de gule felter med den ønskede tekst og skriv antal timer for den enkelte opgave.</t>
  </si>
  <si>
    <t>DEN PLANLAGTE ARBEJDSTID SET I FORHOLD TIL DEN FAKTISKE</t>
  </si>
  <si>
    <t>DEN BEREGNEDE BESKÆFTIGELSESGRAD I FORHOLD TIL DEN PLANLAGTE ARBEJDSTID.</t>
  </si>
  <si>
    <t>Dette regneark er beregnet til planlægning af arbejdstiden og arbejdsopgaver for det pædagogiske personale i skolens SFO og daginstitution.</t>
  </si>
  <si>
    <t>Her skelnes mellem kerneopgaver og andre opgaver, hvormed der især menes møder. Kerneopgaver = K/Andre opgaver = A</t>
  </si>
  <si>
    <t>Aktiviteter</t>
  </si>
  <si>
    <t>AUGUST</t>
  </si>
  <si>
    <t>SEPTEMBER</t>
  </si>
  <si>
    <t>OKTOBER</t>
  </si>
  <si>
    <t>NOVEMBER</t>
  </si>
  <si>
    <t>DECEMBER</t>
  </si>
  <si>
    <t>JANUAR</t>
  </si>
  <si>
    <t>FEBRUAR</t>
  </si>
  <si>
    <t>MARTS</t>
  </si>
  <si>
    <t>APRIL</t>
  </si>
  <si>
    <t>MAJ</t>
  </si>
  <si>
    <t>JUNI</t>
  </si>
  <si>
    <t>JULI</t>
  </si>
  <si>
    <t>Vejledning:</t>
  </si>
  <si>
    <t>SH-dag</t>
  </si>
  <si>
    <t>Nytårsdag</t>
  </si>
  <si>
    <t>Nul-dag</t>
  </si>
  <si>
    <t xml:space="preserve">FOR AT SAMMENTÆLLINGEN AF DAGENE BLIVER KORREKT, ER DET VIGTIGT AT DAGENE ER STAVET RIGTIGT. </t>
  </si>
  <si>
    <t>Skærtorsdag</t>
  </si>
  <si>
    <t>Weekend</t>
  </si>
  <si>
    <t>2. Påskedag</t>
  </si>
  <si>
    <t>Hele skoleåret</t>
  </si>
  <si>
    <t>Juleaftensdag</t>
  </si>
  <si>
    <t>Ekskursion</t>
  </si>
  <si>
    <t>Pæd.dag</t>
  </si>
  <si>
    <t>Nytårsaftensdag</t>
  </si>
  <si>
    <t>I alt</t>
  </si>
  <si>
    <t>arbejdsdage med mødepligt iflg. skema</t>
  </si>
  <si>
    <t>De sidste 3 faner er tomme kalendere. TOMT - ÅR, TOMT 1. halvår, TOMT 2. halvår</t>
  </si>
  <si>
    <t>Kalenderne henter angivelse af dag samt evt. tekst fra dette ark "maaned"</t>
  </si>
  <si>
    <t>Kalenderne henter IKKE FARVERNE OG ANDRE FORMATERIENGER.</t>
  </si>
  <si>
    <t>Dette gør at alle celler kan overskrives, pålægges andre farver mm.</t>
  </si>
  <si>
    <t>Kalenderne er tiltænkt til forældre, fødselsdagskalendere eller til andet brug. DOG IKKE TIL LÆRERNE!</t>
  </si>
  <si>
    <t xml:space="preserve"> arbejdsdage</t>
  </si>
  <si>
    <t>Kalenderdage i alt</t>
  </si>
  <si>
    <t>Koloni</t>
  </si>
  <si>
    <t>Ikke relevant</t>
  </si>
  <si>
    <t>Feriedag</t>
  </si>
  <si>
    <t>Pæd. dag</t>
  </si>
  <si>
    <t>Fridag</t>
  </si>
  <si>
    <t>Afspadseringsdag</t>
  </si>
  <si>
    <t>Indgår ikke i årsnormen</t>
  </si>
  <si>
    <t>Andre opgaver minutter</t>
  </si>
  <si>
    <t>Her skelnes mellem kerneopgaver og andre opgaver, hvormed der især menes møder.</t>
  </si>
  <si>
    <t>Hele perioden</t>
  </si>
  <si>
    <t>Skovuge</t>
  </si>
  <si>
    <t>Virklund</t>
  </si>
  <si>
    <t>Særlig uge 1</t>
  </si>
  <si>
    <t>Særlig uge 4</t>
  </si>
  <si>
    <t>Særlig uge 3</t>
  </si>
  <si>
    <t>Særlig uge 2</t>
  </si>
  <si>
    <t>Langfredag</t>
  </si>
  <si>
    <t>Juledag</t>
  </si>
  <si>
    <t>2. Juledag</t>
  </si>
  <si>
    <t>Særlig uge 1 - antal dage</t>
  </si>
  <si>
    <t>Særlig uge 2 - antal dage</t>
  </si>
  <si>
    <t>Særlig uge 3 - antal dage</t>
  </si>
  <si>
    <t>Særlig uge 4 - antal dage</t>
  </si>
  <si>
    <t>Feriedage</t>
  </si>
  <si>
    <t>Nul-dage</t>
  </si>
  <si>
    <t>Ikke relevante</t>
  </si>
  <si>
    <t>k</t>
  </si>
  <si>
    <t>2018/2019</t>
  </si>
  <si>
    <t>År:</t>
  </si>
  <si>
    <t>a</t>
  </si>
  <si>
    <t>KALENDERVÆRKTØJET</t>
  </si>
  <si>
    <t>Start med at udfyld månedskalenderen. Vejledning til denne læses i fanen "maaned"</t>
  </si>
  <si>
    <t>VIGTIGT - VIGTIGT - VIGTIGT</t>
  </si>
  <si>
    <t>on</t>
  </si>
  <si>
    <t/>
  </si>
  <si>
    <t>lø</t>
  </si>
  <si>
    <t>ma</t>
  </si>
  <si>
    <t>to</t>
  </si>
  <si>
    <t>ti</t>
  </si>
  <si>
    <t>fr</t>
  </si>
  <si>
    <t>sø</t>
  </si>
  <si>
    <t>Skriv kun i de gule felter</t>
  </si>
  <si>
    <t>Arbejdstidsoversigt for skoleåret:</t>
  </si>
  <si>
    <t>Skole:</t>
  </si>
  <si>
    <t>Medarbejder:</t>
  </si>
  <si>
    <t>Perioden denne arbejdstidsoversigt er gældende for:</t>
  </si>
  <si>
    <t>Fra:</t>
  </si>
  <si>
    <t>Til:</t>
  </si>
  <si>
    <t>Dato format dd/mm/åååå</t>
  </si>
  <si>
    <t>Beskæftigelsesgrad:</t>
  </si>
  <si>
    <t>Antal timer</t>
  </si>
  <si>
    <t>Årsnorm</t>
  </si>
  <si>
    <t>Normal uge 1</t>
  </si>
  <si>
    <t>Normal uge 2</t>
  </si>
  <si>
    <t>Antal dage:</t>
  </si>
  <si>
    <t>Antal min.</t>
  </si>
  <si>
    <t>Uge betegnelse</t>
  </si>
  <si>
    <t>Ugedag</t>
  </si>
  <si>
    <t>K</t>
  </si>
  <si>
    <t>A</t>
  </si>
  <si>
    <t>Antal timer til kærneopgaver for hele perioden</t>
  </si>
  <si>
    <t>Forældremøder</t>
  </si>
  <si>
    <t>Sommerfest</t>
  </si>
  <si>
    <t>Arbejdsaften</t>
  </si>
  <si>
    <t>Kursus</t>
  </si>
  <si>
    <t>TR</t>
  </si>
  <si>
    <t>Ledelse</t>
  </si>
  <si>
    <t>Hovedopgaver i alt</t>
  </si>
  <si>
    <t>Øvrige opgaver</t>
  </si>
  <si>
    <t>Antal timer til andre faste opgaver for hele perioden</t>
  </si>
  <si>
    <t>Andre faste opgaver</t>
  </si>
  <si>
    <t>Hovedopgaver</t>
  </si>
  <si>
    <t>Mertid/overtid (minus = undertid)</t>
  </si>
  <si>
    <t>Man</t>
  </si>
  <si>
    <t>Tirs</t>
  </si>
  <si>
    <t>Ons</t>
  </si>
  <si>
    <t>Tors</t>
  </si>
  <si>
    <t>Fre</t>
  </si>
  <si>
    <t>Lør</t>
  </si>
  <si>
    <t>Søn</t>
  </si>
  <si>
    <t>Norm. 1 Mandag</t>
  </si>
  <si>
    <t>Norm. 2 Tirsdag</t>
  </si>
  <si>
    <t>Norm. 1 Tirsdag</t>
  </si>
  <si>
    <t>Norm. 1 Onsdag</t>
  </si>
  <si>
    <t>Norm. 1 Torsdag</t>
  </si>
  <si>
    <t>Norm. 1 Fredag</t>
  </si>
  <si>
    <t>Norm. 2 Mandag</t>
  </si>
  <si>
    <t>Norm. 2 Onsdag</t>
  </si>
  <si>
    <t>Norm. 2 Torsdag</t>
  </si>
  <si>
    <t>Norm. 2 Fredag</t>
  </si>
  <si>
    <t>Normal uge 1 i alt</t>
  </si>
  <si>
    <t>Normal uge 2 i alt</t>
  </si>
  <si>
    <t>STAMDATA ÅRSNORM:</t>
  </si>
  <si>
    <t>I fanen "stamdata årsnorm" oplyses stamoplysninger og hvilke årsnormer der planlægges med.</t>
  </si>
  <si>
    <t>Oplys normperiode, skole/daginstitution, navn på den ansatte, normperiode fra og til samt beskæftigelsesgrad.</t>
  </si>
  <si>
    <t>Faste arbejdsopgaver</t>
  </si>
  <si>
    <t>A: Start med at skrive hvilken uge der planlægges med. Feks. Normal uge 1.</t>
  </si>
  <si>
    <t>Kerneopgaver benævnes med "K"</t>
  </si>
  <si>
    <t>Andre opgaver benævnes med "A"</t>
  </si>
  <si>
    <t>E:Angiv for hvert tidsmodul, om den ansatte arbejder med kerneopgaver eller andre opgaver.</t>
  </si>
  <si>
    <t>Arrangementer</t>
  </si>
  <si>
    <t>Kurser</t>
  </si>
  <si>
    <t>Fra</t>
  </si>
  <si>
    <t>Til</t>
  </si>
  <si>
    <t>C: Tidspunktet for arbejdstidens begyndelse skrives i kolonne B, J, R osv.</t>
  </si>
  <si>
    <t>Pædagogisk dag kl. 8.00 - 15.00</t>
  </si>
  <si>
    <t>Derudover kan der oplyses timer til feks:</t>
  </si>
  <si>
    <t>Hvis den planlagte arbejdstid ikke passer med beskæftigelsesgraden, og man ønsker at se hvad beskæftigelsesgraden vil være med de planlagte opgaver, er det muligt ved at lave en målsøgning. Klik på menuen 'Funktioner' og vælg 'Målsøgning', eller vælg 'Data' i båndet og klik på 'Målsøgning' i ikonet 'Hvad-hvis'. Cellen der skal ændres vælges - værdien sættes til nul og man beder om ændring på feks. beskæftigelsesgraden. Derved reguleres beskæftigelsesgraden således arbejdstiden stemmer med beskæftigelsesgrad.</t>
  </si>
  <si>
    <t>OBS: Hvis brug for flere Normale uger, særlige uger eller uger med koloni, kan hele perioder kopieres og indsættes specielt. Gør sådan: "lås arket" op. Kopier en uge "evt Normal uge 2". Dette gøres ved at markere i øverste bjælke I-P. Vælg "Kopier". Stil derefter markøren hvor ugen skal sættes ind. Evt. før kolonne Q. Stil markøren i kolonne "Q", og vælg "insæt kopierede celler"</t>
  </si>
  <si>
    <t>Ved deltidsbeskæftigelse laves en målsøgning - klik på menuen 'Funktioner' og vælg 'Målsøgning', eller vælg 'Data' i båndet og klik på 'Målsøgning' i ikonet 'Hvad-hvis'. Cellen der skal ændres vælges - værdien sættes til nul og man beder om ændring på feks. beskæftigelsesgraden. Derved reguleres beskæftigelsesgraden således arbejdstiden stemmer med beskæftigelsesgrad. Beskæftigelsesgraden ændres i fanen "stamdata årsnorm".</t>
  </si>
  <si>
    <t>K=Kerneopg. A=Andre faste opg.</t>
  </si>
  <si>
    <t>Kerneopgaver i alt</t>
  </si>
  <si>
    <t>St. Bededag</t>
  </si>
  <si>
    <t>2. Pinsedag</t>
  </si>
  <si>
    <t>Påskedag</t>
  </si>
  <si>
    <t>Ud for hver dag, er der mulighed for at skrive en tekst til dagen. Feks. 1. skoledag, juleafslutning, forældrearrangement, forældremøder mm. Teksten bliver automatisk kopieret over i kalenderværktøjet for 1. halvår og 2. halvår.</t>
  </si>
  <si>
    <t>Normaluge 1 i alt</t>
  </si>
  <si>
    <t>Normaluge 2 i alt</t>
  </si>
  <si>
    <t>Rul 1</t>
  </si>
  <si>
    <t>Rul 2</t>
  </si>
  <si>
    <t>Rul 3</t>
  </si>
  <si>
    <t>Rul 4</t>
  </si>
  <si>
    <t>Arbejdsdage med mødepligt iflg. skema</t>
  </si>
  <si>
    <t>Palmesøndag</t>
  </si>
  <si>
    <t>Kristi himmelfartsdag</t>
  </si>
  <si>
    <t>DERFOR: Ved at stå i cellen der  benævner hvilken type dag der er tale om, kan man ved at trykke på pilen få valgmuligheder frem. VÆLG EN AF FØLGENDE MULIGE:</t>
  </si>
  <si>
    <t>Sær. uge 1 Mandag</t>
  </si>
  <si>
    <t>Sær. uge 1 Tirsdag</t>
  </si>
  <si>
    <t>Sær. uge 1 Onsdag</t>
  </si>
  <si>
    <t>Sær. uge 1 Torsdag</t>
  </si>
  <si>
    <t>Sær. uge 1 Fredag</t>
  </si>
  <si>
    <t>Sær. uge 2 Mandag</t>
  </si>
  <si>
    <t>Sær. uge 2 Tirsdag</t>
  </si>
  <si>
    <t>Sær. uge 2 Onsdag</t>
  </si>
  <si>
    <t>Sær. uge 2 Torsdag</t>
  </si>
  <si>
    <t>Sær. uge 2 Fredag</t>
  </si>
  <si>
    <t>Rul 1 Mandag</t>
  </si>
  <si>
    <t>Rul 1 Tirsdag</t>
  </si>
  <si>
    <t>Rul 1 Onsdag</t>
  </si>
  <si>
    <t>Rul 1 Torsdag</t>
  </si>
  <si>
    <t>Rul 1 Fredag</t>
  </si>
  <si>
    <t>Rul 2 Mandag</t>
  </si>
  <si>
    <t>Rul 2 Tirsdag</t>
  </si>
  <si>
    <t>Rul 2 Onsdag</t>
  </si>
  <si>
    <t>Rul 2 Torsdag</t>
  </si>
  <si>
    <t>Rul 2 Fredag</t>
  </si>
  <si>
    <t>Rul 3 Mandag</t>
  </si>
  <si>
    <t>Rul 3 Tirsdag</t>
  </si>
  <si>
    <t>Rul 3 Onsdag</t>
  </si>
  <si>
    <t>Rul 3 Torsdag</t>
  </si>
  <si>
    <t>Rul 3 Fredag</t>
  </si>
  <si>
    <t>Rul 4 Mandag</t>
  </si>
  <si>
    <t>Rul 4Tirsdag</t>
  </si>
  <si>
    <t>Rul 4 Onsdag</t>
  </si>
  <si>
    <t>Rul 4 Torsdag</t>
  </si>
  <si>
    <t>Rul 4 Fredag</t>
  </si>
  <si>
    <t>Sær. uge 3 Mandag</t>
  </si>
  <si>
    <t>Sær. uge 3 Tirsdag</t>
  </si>
  <si>
    <t>Sær. uge 3 Onsdag</t>
  </si>
  <si>
    <t>Sær. uge 3 Torsdag</t>
  </si>
  <si>
    <t>Sær. uge 3 Fredag</t>
  </si>
  <si>
    <t>Sær. uge 4 Mandag</t>
  </si>
  <si>
    <t>Sær. uge 4 Tirsdag</t>
  </si>
  <si>
    <t>Sær. uge 4 Onsdag</t>
  </si>
  <si>
    <t>Sær. uge 4 Torsdag</t>
  </si>
  <si>
    <t>Sær. uge 4 Fredag</t>
  </si>
  <si>
    <t>Koloni Mandag</t>
  </si>
  <si>
    <t>Koloni Tirsdag</t>
  </si>
  <si>
    <t>Koloni Onsdag</t>
  </si>
  <si>
    <t>Koloni Torsdag</t>
  </si>
  <si>
    <t>Koloni Fredag</t>
  </si>
  <si>
    <t>Koloni Lørdag</t>
  </si>
  <si>
    <t>Koloni Søndag</t>
  </si>
  <si>
    <t>Skole/Daginstitution:</t>
  </si>
  <si>
    <t>Forældremøder 2 møder a 1,5 time</t>
  </si>
  <si>
    <t>Generalforsamling</t>
  </si>
  <si>
    <t>Julehygge</t>
  </si>
  <si>
    <t>B: Er månedskalenderen udfyldt korrekt, oplyser værktøjet antal mandage, tirsdage, onsdage, torsdage og fredage der er på hhv: Normaluge 1-2, Særlig uge 1-4, Rul 1-4 og kolonidage.</t>
  </si>
  <si>
    <t>D: I kolonne A, I, Q osv. skrives antallet af minutter for hvert tidsmodul, fx 30  for 1/2 time. Kunsten her er at sørge for at opdele tidsmodulerne således at det er muligt at ramme alle komme og gå tider for alle dagene i ugen.</t>
  </si>
  <si>
    <t>Arbejdstidsplanen giver mulighed for at planlægge 2 forskellige normale uger, 4 særlig, 4 x rullende dage/uger samt koloni.</t>
  </si>
  <si>
    <t>I fanen "Faste arbejdsopgaver" planlægges der for de arbejdsopgaver der ligger som faste opgaver. Her er der mulighed for at planlægge med to forskellige normaluger(ved feks. ændret skema, førskoleordning/FørSFO eller lign.), 4 særlige uger(Kan være de uger hvor skolen har lukket og SFO/daginstitution har andre åbningstider, emneuger eller lign.), Rullende uger/dage 1- 4 samt koloni man-søn.</t>
  </si>
  <si>
    <t>I arket "samling" samles alle de planlagte timer fra normaluge1, normaluge2, særlig uge 1, særlige uge 2, særlig uge 3, særlig uge 4,  rul 1, rul 2, rul 3, rul 4 samt Koloni.</t>
  </si>
  <si>
    <t xml:space="preserve">I fanen "samling" række 32 ses om den planlagte arbejdstid går op med den ansattes beskæftigelsesgrad/nettoarbejdstid. Er dette tal i plus betyder det at den ansatte er planlagt med flere timer end den ansatte er ansat til og får løn for. Er tallet i minus er der planlagt med for få timer/opgaver. </t>
  </si>
  <si>
    <r>
      <rPr>
        <b/>
        <sz val="12"/>
        <rFont val="Arial"/>
        <family val="2"/>
      </rPr>
      <t xml:space="preserve">SAMMENTÆLLING AF DE FORSKELLIGE DAGE: </t>
    </r>
    <r>
      <rPr>
        <sz val="12"/>
        <rFont val="Arial"/>
        <family val="2"/>
      </rPr>
      <t>Under hver mdr. og slut året tæller kalenderen automatisk dagene sammen. Både antal normal uger 1 og 2, særlige uger 1-4, Rul 1-4, koloni, ekskursion, pæd.dag, weekenddage, SH-dage, feriedage, nul-dage og dage der i planlægningen ikke er relevante. MEN også antal mandage, tirsdage, onsdage, torsdage og fredage for hvad angår normal uge 1-2, særlig uge 1-4, rul 1-4 samt koloni. Denne sammentælling bruges til arbejdstidsoversigten/fanen "Faste arbejdsopgaver", hvor der oplyses antallet af disse dage. Sammentællingen for året, er et godt værktøj til at se hvordan skolen har planlagt året, og hvor mange dage der går i alt til feks. pædagogiske dage, skoledage, feriedage osv. De "ikke relevante dage" bruges i tilfælde af at der ikke skal planlægges for et helt skoleår. De dage den ansatte ikke er ansat vælges som "ikke relevante" dage.</t>
    </r>
  </si>
  <si>
    <r>
      <rPr>
        <b/>
        <sz val="14"/>
        <rFont val="Arial"/>
        <family val="2"/>
      </rPr>
      <t>Månedskalenderen er et master-ark</t>
    </r>
    <r>
      <rPr>
        <sz val="12"/>
        <rFont val="Arial"/>
        <family val="2"/>
      </rPr>
      <t xml:space="preserve">. Master-arket er udfyldt med en mængde formler der automatisk beregner dato, ugedage og ugenumre (på mandage). Weekend samt søgne/helligdage er sat i kalenderen. </t>
    </r>
    <r>
      <rPr>
        <sz val="12"/>
        <color rgb="FFFF0000"/>
        <rFont val="Arial"/>
        <family val="2"/>
      </rPr>
      <t>DET ER VIGTIGT: at man vælger hver kalenderdag med pilen og IKKE kopierer celler eller rækker.</t>
    </r>
  </si>
  <si>
    <t>Pinsedag</t>
  </si>
  <si>
    <t>Grundlovsdag</t>
  </si>
  <si>
    <t>2022-2023</t>
  </si>
  <si>
    <t>Har skolen ikke tiltrådt overenskomst skrives her antallet af normtimetallet for perioden(aftalt i ansættelsesbeviset). OBS. Timetallet skal oplyses svarende til normperioden arbejdstiden planlægges for. Hvis planlægningen er for en del af et skoleår omregnes årsnormen så den svarer til periodenormen.</t>
  </si>
  <si>
    <t>2. påskedag</t>
  </si>
  <si>
    <t>Kr. Himmelfarsdag</t>
  </si>
  <si>
    <t>2. juledag</t>
  </si>
  <si>
    <t>2. pinsedag</t>
  </si>
  <si>
    <t>ÅRSKALENDER  for  MIN EGEN DAGINSTITUTION  2022 - 2023</t>
  </si>
  <si>
    <t>Regnearket kan også bruges til det tekniske/administrative personale.</t>
  </si>
  <si>
    <t>For skoleåret 2022-2023 er der 365 dage. Herfra trækkes 104 weekenddage, 7 søgnehelligdage samt det antal feriedage der ligger i skoleåret. Normalt planlægges der med 25 feriedage i et skoleår. Vær dog opmærksom på at ved nyansættelse eller ved feriehindring kan antallet af feriedage være anderledes. Antallet af mulige arbejdsdage * 7,4 giver årsnormen for en fuldtidsansat. Er den ansatte ansat på deltid, beregnes årsnormen ud fra beskæftigelsesgraden(Oplyst i celle D8).</t>
  </si>
  <si>
    <t>Har skolen ikke tiltrådt BUPL-OK eller valgt at følge denne, eller planlægges der for teknisk/administrativ personale, er det den aftalte årsnorm aftalt i ansættelsesbrevet der er gældene. Dette oplyses i celle "F15"</t>
  </si>
  <si>
    <t>Her kan der skelnes mellem kerneopgaver og andre opgaver. Andre opgaver kan være møder eller lign.</t>
  </si>
  <si>
    <t>Her kan der skelnes mellem kerneopgaver og andre opgaver. OBS en kolonidøgn tæller med 14 timer, medmindre der er indgået en lokalaftale.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</si>
</sst>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quot;kr.&quot;* #,##0_-;\-&quot;kr.&quot;* #,##0_-;_-&quot;kr.&quot;* &quot;-&quot;_-;_-@_-"/>
    <numFmt numFmtId="165" formatCode="_-&quot;kr.&quot;* #,##0.00_-;\-&quot;kr.&quot;* #,##0.00_-;_-&quot;kr.&quot;* &quot;-&quot;??_-;_-@_-"/>
    <numFmt numFmtId="166" formatCode="d\.\ mmm"/>
    <numFmt numFmtId="167" formatCode="0.0000"/>
    <numFmt numFmtId="168" formatCode="#,##0.00&quot;kr.&quot;;\-#,##0.00&quot;kr.&quot;"/>
    <numFmt numFmtId="169" formatCode="#,##0.0"/>
    <numFmt numFmtId="170" formatCode="#,##0.0000"/>
    <numFmt numFmtId="171" formatCode="0.0%"/>
    <numFmt numFmtId="172" formatCode="000\-000"/>
    <numFmt numFmtId="173" formatCode="0\ 00/60"/>
    <numFmt numFmtId="174" formatCode=";;;"/>
    <numFmt numFmtId="175" formatCode="mm"/>
    <numFmt numFmtId="176" formatCode="dd:mm:yyyy;@"/>
    <numFmt numFmtId="177" formatCode="_-* #,##0.00\ _k_r_-;\-* #,##0.00\ _k_r_-;_-* &quot;-&quot;??\ _k_r_-;_-@_-"/>
    <numFmt numFmtId="178" formatCode="hh:mm;@"/>
  </numFmts>
  <fonts count="100">
    <font>
      <sz val="12"/>
      <name val="Helv"/>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name val="Helv"/>
    </font>
    <font>
      <i/>
      <sz val="12"/>
      <name val="Helv"/>
    </font>
    <font>
      <sz val="10"/>
      <name val="Helv"/>
    </font>
    <font>
      <sz val="12"/>
      <name val="Helv"/>
    </font>
    <font>
      <sz val="14"/>
      <name val="Helv"/>
    </font>
    <font>
      <sz val="9"/>
      <name val="Helv"/>
    </font>
    <font>
      <sz val="12"/>
      <name val="System"/>
    </font>
    <font>
      <sz val="12"/>
      <name val="Arial"/>
      <family val="2"/>
    </font>
    <font>
      <sz val="10"/>
      <name val="Courier"/>
      <family val="1"/>
    </font>
    <font>
      <sz val="10"/>
      <name val="Arial"/>
      <family val="2"/>
    </font>
    <font>
      <sz val="8"/>
      <name val="Helv"/>
    </font>
    <font>
      <b/>
      <i/>
      <sz val="24"/>
      <name val="Helv"/>
    </font>
    <font>
      <sz val="12"/>
      <color indexed="10"/>
      <name val="Helv"/>
    </font>
    <font>
      <sz val="12"/>
      <color indexed="48"/>
      <name val="Helv"/>
    </font>
    <font>
      <sz val="12"/>
      <color indexed="57"/>
      <name val="Helv"/>
    </font>
    <font>
      <sz val="12"/>
      <color indexed="61"/>
      <name val="Helv"/>
    </font>
    <font>
      <sz val="12"/>
      <color indexed="11"/>
      <name val="Helv"/>
    </font>
    <font>
      <sz val="12"/>
      <color indexed="60"/>
      <name val="Helv"/>
    </font>
    <font>
      <b/>
      <sz val="16"/>
      <name val="Helv"/>
    </font>
    <font>
      <sz val="8"/>
      <name val="Verdana"/>
      <family val="2"/>
    </font>
    <font>
      <sz val="12"/>
      <color indexed="12"/>
      <name val="Helv"/>
    </font>
    <font>
      <sz val="12"/>
      <color indexed="46"/>
      <name val="Helv"/>
    </font>
    <font>
      <sz val="12"/>
      <color indexed="19"/>
      <name val="Helv"/>
    </font>
    <font>
      <sz val="12"/>
      <color indexed="8"/>
      <name val="Helv"/>
    </font>
    <font>
      <u/>
      <sz val="12"/>
      <color theme="10"/>
      <name val="Helv"/>
    </font>
    <font>
      <u/>
      <sz val="12"/>
      <color theme="11"/>
      <name val="Helv"/>
    </font>
    <font>
      <sz val="12"/>
      <color theme="0"/>
      <name val="Helv"/>
    </font>
    <font>
      <b/>
      <sz val="18"/>
      <color theme="1"/>
      <name val="Calibri"/>
      <family val="2"/>
      <scheme val="minor"/>
    </font>
    <font>
      <b/>
      <i/>
      <u/>
      <sz val="12"/>
      <color theme="1"/>
      <name val="Helv"/>
    </font>
    <font>
      <b/>
      <i/>
      <sz val="12"/>
      <name val="Helv"/>
    </font>
    <font>
      <b/>
      <sz val="14"/>
      <color indexed="10"/>
      <name val="Helvetica"/>
      <family val="2"/>
    </font>
    <font>
      <b/>
      <sz val="12"/>
      <name val="Helvetica"/>
      <family val="2"/>
    </font>
    <font>
      <sz val="14"/>
      <name val="Arial"/>
      <family val="2"/>
    </font>
    <font>
      <b/>
      <sz val="14"/>
      <name val="Helvetica"/>
      <family val="2"/>
    </font>
    <font>
      <b/>
      <sz val="10"/>
      <name val="Helvetica"/>
      <family val="2"/>
    </font>
    <font>
      <sz val="14"/>
      <color rgb="FFFF0000"/>
      <name val="Arial"/>
      <family val="2"/>
    </font>
    <font>
      <sz val="10"/>
      <color indexed="12"/>
      <name val="Arial"/>
      <family val="2"/>
    </font>
    <font>
      <sz val="8"/>
      <name val="Helvetica"/>
      <family val="2"/>
    </font>
    <font>
      <b/>
      <sz val="14"/>
      <name val="Arial"/>
      <family val="2"/>
    </font>
    <font>
      <b/>
      <sz val="12"/>
      <name val="Arial"/>
      <family val="2"/>
    </font>
    <font>
      <b/>
      <sz val="10"/>
      <color theme="0"/>
      <name val="Arial"/>
      <family val="2"/>
    </font>
    <font>
      <sz val="10"/>
      <color theme="0"/>
      <name val="Arial"/>
      <family val="2"/>
    </font>
    <font>
      <sz val="10"/>
      <color theme="1"/>
      <name val="Arial"/>
      <family val="2"/>
    </font>
    <font>
      <sz val="9"/>
      <name val="Arial"/>
      <family val="2"/>
    </font>
    <font>
      <b/>
      <sz val="10"/>
      <name val="Arial"/>
      <family val="2"/>
    </font>
    <font>
      <sz val="9"/>
      <name val="Helvetica"/>
      <family val="2"/>
    </font>
    <font>
      <sz val="10"/>
      <name val="Helvetica"/>
      <family val="2"/>
    </font>
    <font>
      <b/>
      <sz val="16"/>
      <color theme="1"/>
      <name val="Arial"/>
      <family val="2"/>
    </font>
    <font>
      <b/>
      <sz val="12"/>
      <color theme="1"/>
      <name val="Arial"/>
      <family val="2"/>
    </font>
    <font>
      <b/>
      <sz val="24"/>
      <name val="Arial"/>
      <family val="2"/>
    </font>
    <font>
      <sz val="24"/>
      <name val="Arial"/>
      <family val="2"/>
    </font>
    <font>
      <sz val="8"/>
      <name val="Arial"/>
      <family val="2"/>
    </font>
    <font>
      <i/>
      <sz val="9"/>
      <name val="Helvetica"/>
      <family val="2"/>
    </font>
    <font>
      <i/>
      <sz val="10"/>
      <name val="Arial"/>
      <family val="2"/>
    </font>
    <font>
      <i/>
      <sz val="8"/>
      <name val="Arial"/>
      <family val="2"/>
    </font>
    <font>
      <sz val="12"/>
      <color theme="0"/>
      <name val="Arial"/>
      <family val="2"/>
    </font>
    <font>
      <sz val="11"/>
      <name val="Arial"/>
      <family val="2"/>
    </font>
    <font>
      <sz val="12"/>
      <name val="Helvetica"/>
      <family val="2"/>
    </font>
    <font>
      <sz val="16"/>
      <name val="Helvetica"/>
      <family val="2"/>
    </font>
    <font>
      <b/>
      <sz val="16"/>
      <name val="Helvetica"/>
      <family val="2"/>
    </font>
    <font>
      <sz val="36"/>
      <name val="Helvetica"/>
      <family val="2"/>
    </font>
    <font>
      <b/>
      <sz val="18"/>
      <name val="Helvetica"/>
      <family val="2"/>
    </font>
    <font>
      <sz val="18"/>
      <name val="Helvetica"/>
      <family val="2"/>
    </font>
    <font>
      <sz val="14"/>
      <name val="Helvetica"/>
      <family val="2"/>
    </font>
    <font>
      <u/>
      <sz val="10"/>
      <color indexed="36"/>
      <name val="Arial"/>
      <family val="2"/>
    </font>
    <font>
      <i/>
      <sz val="8"/>
      <name val="Helvetica"/>
      <family val="2"/>
    </font>
    <font>
      <sz val="9"/>
      <color theme="0"/>
      <name val="Arial"/>
      <family val="2"/>
    </font>
    <font>
      <sz val="11"/>
      <color theme="0"/>
      <name val="Arial"/>
      <family val="2"/>
    </font>
    <font>
      <sz val="12"/>
      <color theme="1"/>
      <name val="Helv"/>
    </font>
    <font>
      <b/>
      <sz val="12"/>
      <color theme="1"/>
      <name val="Helv"/>
    </font>
    <font>
      <b/>
      <sz val="22"/>
      <color theme="1"/>
      <name val="Helv"/>
    </font>
    <font>
      <sz val="10"/>
      <name val="Arial"/>
      <family val="2"/>
    </font>
    <font>
      <sz val="10"/>
      <color indexed="12"/>
      <name val="Arial"/>
      <family val="2"/>
      <charset val="161"/>
    </font>
    <font>
      <sz val="10"/>
      <name val="Arial"/>
      <family val="2"/>
      <charset val="161"/>
    </font>
    <font>
      <sz val="22"/>
      <color theme="1"/>
      <name val="Calibri"/>
      <family val="2"/>
      <scheme val="minor"/>
    </font>
    <font>
      <b/>
      <i/>
      <sz val="18"/>
      <color theme="1"/>
      <name val="Calibri"/>
      <family val="2"/>
      <scheme val="minor"/>
    </font>
    <font>
      <sz val="12"/>
      <color rgb="FFFF0000"/>
      <name val="Helv"/>
    </font>
    <font>
      <b/>
      <sz val="18"/>
      <color theme="1"/>
      <name val="Calibri"/>
      <family val="2"/>
      <scheme val="minor"/>
    </font>
    <font>
      <b/>
      <sz val="12"/>
      <name val="Arial"/>
      <family val="2"/>
    </font>
    <font>
      <sz val="12"/>
      <name val="Arial"/>
      <family val="2"/>
    </font>
    <font>
      <b/>
      <sz val="16"/>
      <name val="Calibri"/>
      <family val="2"/>
      <scheme val="minor"/>
    </font>
    <font>
      <b/>
      <sz val="16"/>
      <color theme="1"/>
      <name val="Helv"/>
    </font>
    <font>
      <sz val="12"/>
      <color rgb="FF7030A0"/>
      <name val="Helv"/>
    </font>
    <font>
      <sz val="12"/>
      <color rgb="FFFF2F92"/>
      <name val="Helv"/>
    </font>
    <font>
      <sz val="14"/>
      <color theme="1"/>
      <name val="Arial"/>
      <family val="2"/>
    </font>
    <font>
      <sz val="12"/>
      <color theme="1"/>
      <name val="Arial"/>
      <family val="2"/>
    </font>
    <font>
      <sz val="12"/>
      <color rgb="FF0070C0"/>
      <name val="Helv"/>
    </font>
    <font>
      <sz val="12"/>
      <color theme="7" tint="-0.499984740745262"/>
      <name val="Helv"/>
    </font>
    <font>
      <sz val="12"/>
      <color rgb="FF00B050"/>
      <name val="Helv"/>
    </font>
    <font>
      <sz val="12"/>
      <color theme="4" tint="-0.499984740745262"/>
      <name val="Helv"/>
    </font>
    <font>
      <sz val="12"/>
      <name val="Calibri"/>
      <family val="2"/>
      <scheme val="minor"/>
    </font>
    <font>
      <b/>
      <sz val="12"/>
      <color theme="1"/>
      <name val="Arial"/>
      <family val="2"/>
    </font>
    <font>
      <b/>
      <sz val="12"/>
      <color rgb="FFFF0000"/>
      <name val="Helv"/>
    </font>
    <font>
      <sz val="12"/>
      <color rgb="FFFF0000"/>
      <name val="Arial"/>
      <family val="2"/>
    </font>
  </fonts>
  <fills count="44">
    <fill>
      <patternFill patternType="none"/>
    </fill>
    <fill>
      <patternFill patternType="gray125"/>
    </fill>
    <fill>
      <patternFill patternType="gray0625"/>
    </fill>
    <fill>
      <patternFill patternType="lightGray"/>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CF98F"/>
        <bgColor indexed="64"/>
      </patternFill>
    </fill>
    <fill>
      <patternFill patternType="solid">
        <fgColor rgb="FFFCF30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E6DFFF"/>
        <bgColor indexed="64"/>
      </patternFill>
    </fill>
    <fill>
      <patternFill patternType="solid">
        <fgColor rgb="FFFFD2FB"/>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
      <patternFill patternType="solid">
        <fgColor rgb="FF7A81FF"/>
        <bgColor indexed="64"/>
      </patternFill>
    </fill>
    <fill>
      <patternFill patternType="solid">
        <fgColor rgb="FFFF2F92"/>
        <bgColor indexed="64"/>
      </patternFill>
    </fill>
    <fill>
      <patternFill patternType="solid">
        <fgColor theme="7" tint="0.59999389629810485"/>
        <bgColor indexed="64"/>
      </patternFill>
    </fill>
    <fill>
      <patternFill patternType="solid">
        <fgColor rgb="FF7030A0"/>
        <bgColor indexed="64"/>
      </patternFill>
    </fill>
    <fill>
      <patternFill patternType="solid">
        <fgColor rgb="FFD883FF"/>
        <bgColor indexed="64"/>
      </patternFill>
    </fill>
    <fill>
      <patternFill patternType="solid">
        <fgColor rgb="FFFFFD78"/>
        <bgColor indexed="64"/>
      </patternFill>
    </fill>
    <fill>
      <patternFill patternType="solid">
        <fgColor rgb="FFFFC000"/>
        <bgColor indexed="64"/>
      </patternFill>
    </fill>
    <fill>
      <patternFill patternType="solid">
        <fgColor rgb="FFBFBFBF"/>
        <bgColor rgb="FF000000"/>
      </patternFill>
    </fill>
    <fill>
      <patternFill patternType="solid">
        <fgColor rgb="FFFEFB4B"/>
        <bgColor indexed="64"/>
      </patternFill>
    </fill>
    <fill>
      <patternFill patternType="solid">
        <fgColor rgb="FFFFFC00"/>
        <bgColor indexed="64"/>
      </patternFill>
    </fill>
    <fill>
      <patternFill patternType="solid">
        <fgColor theme="2" tint="-9.9978637043366805E-2"/>
        <bgColor indexed="64"/>
      </patternFill>
    </fill>
    <fill>
      <patternFill patternType="solid">
        <fgColor rgb="FFF9FF9C"/>
        <bgColor indexed="64"/>
      </patternFill>
    </fill>
    <fill>
      <patternFill patternType="solid">
        <fgColor rgb="FFFFCFF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CBFC"/>
        <bgColor indexed="64"/>
      </patternFill>
    </fill>
  </fills>
  <borders count="114">
    <border>
      <left/>
      <right/>
      <top/>
      <bottom/>
      <diagonal/>
    </border>
    <border>
      <left/>
      <right style="hair">
        <color auto="1"/>
      </right>
      <top style="thin">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medium">
        <color auto="1"/>
      </right>
      <top/>
      <bottom style="thin">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right/>
      <top style="thin">
        <color auto="1"/>
      </top>
      <bottom style="thin">
        <color auto="1"/>
      </bottom>
      <diagonal/>
    </border>
    <border>
      <left/>
      <right style="thin">
        <color auto="1"/>
      </right>
      <top/>
      <bottom/>
      <diagonal/>
    </border>
    <border>
      <left/>
      <right/>
      <top style="thin">
        <color auto="1"/>
      </top>
      <bottom style="hair">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style="hair">
        <color auto="1"/>
      </right>
      <top style="thin">
        <color auto="1"/>
      </top>
      <bottom/>
      <diagonal/>
    </border>
    <border>
      <left style="hair">
        <color auto="1"/>
      </left>
      <right/>
      <top/>
      <bottom/>
      <diagonal/>
    </border>
    <border>
      <left style="medium">
        <color auto="1"/>
      </left>
      <right/>
      <top/>
      <bottom/>
      <diagonal/>
    </border>
    <border>
      <left style="medium">
        <color auto="1"/>
      </left>
      <right style="hair">
        <color auto="1"/>
      </right>
      <top/>
      <bottom/>
      <diagonal/>
    </border>
    <border>
      <left/>
      <right/>
      <top style="thin">
        <color auto="1"/>
      </top>
      <bottom style="double">
        <color auto="1"/>
      </bottom>
      <diagonal/>
    </border>
    <border>
      <left style="medium">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thin">
        <color auto="1"/>
      </right>
      <top style="thin">
        <color auto="1"/>
      </top>
      <bottom style="double">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diagonal/>
    </border>
    <border>
      <left style="medium">
        <color auto="1"/>
      </left>
      <right style="medium">
        <color auto="1"/>
      </right>
      <top style="medium">
        <color auto="1"/>
      </top>
      <bottom/>
      <diagonal/>
    </border>
    <border>
      <left style="medium">
        <color auto="1"/>
      </left>
      <right/>
      <top style="thin">
        <color auto="1"/>
      </top>
      <bottom/>
      <diagonal/>
    </border>
    <border>
      <left style="thin">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top style="medium">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hair">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double">
        <color auto="1"/>
      </top>
      <bottom style="thin">
        <color auto="1"/>
      </bottom>
      <diagonal/>
    </border>
    <border>
      <left style="hair">
        <color auto="1"/>
      </left>
      <right/>
      <top style="hair">
        <color auto="1"/>
      </top>
      <bottom style="thin">
        <color auto="1"/>
      </bottom>
      <diagonal/>
    </border>
    <border>
      <left style="hair">
        <color auto="1"/>
      </left>
      <right/>
      <top style="hair">
        <color auto="1"/>
      </top>
      <bottom style="hair">
        <color auto="1"/>
      </bottom>
      <diagonal/>
    </border>
    <border>
      <left style="medium">
        <color auto="1"/>
      </left>
      <right/>
      <top/>
      <bottom style="medium">
        <color rgb="FF000000"/>
      </bottom>
      <diagonal/>
    </border>
    <border>
      <left/>
      <right style="medium">
        <color auto="1"/>
      </right>
      <top/>
      <bottom style="medium">
        <color rgb="FF000000"/>
      </bottom>
      <diagonal/>
    </border>
    <border>
      <left/>
      <right style="thin">
        <color auto="1"/>
      </right>
      <top style="medium">
        <color auto="1"/>
      </top>
      <bottom style="medium">
        <color auto="1"/>
      </bottom>
      <diagonal/>
    </border>
    <border>
      <left/>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top/>
      <bottom style="medium">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diagonal/>
    </border>
    <border>
      <left style="thin">
        <color auto="1"/>
      </left>
      <right style="hair">
        <color auto="1"/>
      </right>
      <top style="thin">
        <color auto="1"/>
      </top>
      <bottom style="medium">
        <color auto="1"/>
      </bottom>
      <diagonal/>
    </border>
    <border>
      <left style="thin">
        <color auto="1"/>
      </left>
      <right/>
      <top style="medium">
        <color auto="1"/>
      </top>
      <bottom/>
      <diagonal/>
    </border>
    <border>
      <left/>
      <right style="hair">
        <color auto="1"/>
      </right>
      <top style="medium">
        <color auto="1"/>
      </top>
      <bottom style="thin">
        <color auto="1"/>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diagonal/>
    </border>
    <border>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slantDashDot">
        <color auto="1"/>
      </right>
      <top/>
      <bottom/>
      <diagonal/>
    </border>
    <border>
      <left/>
      <right style="thin">
        <color auto="1"/>
      </right>
      <top style="hair">
        <color auto="1"/>
      </top>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s>
  <cellStyleXfs count="7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pplyNumberFormat="0" applyFill="0" applyBorder="0" applyProtection="0">
      <alignment horizontal="center"/>
    </xf>
    <xf numFmtId="41" fontId="9" fillId="0" borderId="0" applyFont="0" applyFill="0" applyBorder="0" applyAlignment="0" applyProtection="0"/>
    <xf numFmtId="43" fontId="9" fillId="0" borderId="0" applyFont="0" applyFill="0" applyBorder="0" applyAlignment="0" applyProtection="0"/>
    <xf numFmtId="3" fontId="14" fillId="2" borderId="2" applyFill="0" applyBorder="0" applyAlignment="0">
      <alignment horizontal="center"/>
    </xf>
    <xf numFmtId="164" fontId="9" fillId="0" borderId="0" applyFont="0" applyFill="0" applyBorder="0" applyAlignment="0" applyProtection="0"/>
    <xf numFmtId="165" fontId="9"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4"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0" fontId="9" fillId="0" borderId="0"/>
    <xf numFmtId="0" fontId="9" fillId="0" borderId="0"/>
    <xf numFmtId="9" fontId="8" fillId="0" borderId="0" applyFont="0" applyFill="0" applyBorder="0" applyAlignment="0" applyProtection="0"/>
    <xf numFmtId="171" fontId="8" fillId="0" borderId="0" applyFont="0" applyFill="0" applyBorder="0" applyAlignment="0" applyProtection="0"/>
    <xf numFmtId="10" fontId="8" fillId="0" borderId="0" applyFont="0" applyFill="0" applyBorder="0" applyAlignment="0" applyProtection="0"/>
    <xf numFmtId="172" fontId="8" fillId="0" borderId="0" applyFont="0" applyFill="0" applyBorder="0" applyProtection="0">
      <alignment horizontal="center"/>
    </xf>
    <xf numFmtId="0" fontId="15" fillId="3" borderId="0" applyNumberFormat="0" applyFon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5" fillId="0" borderId="0"/>
    <xf numFmtId="0" fontId="51" fillId="0" borderId="0" applyNumberFormat="0" applyFill="0" applyBorder="0" applyAlignment="0" applyProtection="0"/>
    <xf numFmtId="0" fontId="5" fillId="0" borderId="0"/>
    <xf numFmtId="0" fontId="51" fillId="0" borderId="0"/>
    <xf numFmtId="0" fontId="63" fillId="0" borderId="0"/>
    <xf numFmtId="0" fontId="70"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 fillId="0" borderId="0"/>
    <xf numFmtId="0" fontId="77" fillId="0" borderId="0"/>
    <xf numFmtId="177" fontId="3" fillId="0" borderId="0" applyFont="0" applyFill="0" applyBorder="0" applyAlignment="0" applyProtection="0"/>
    <xf numFmtId="0" fontId="3" fillId="0" borderId="0"/>
    <xf numFmtId="0" fontId="2" fillId="0" borderId="0"/>
    <xf numFmtId="177" fontId="2" fillId="0" borderId="0" applyFont="0" applyFill="0" applyBorder="0" applyAlignment="0" applyProtection="0"/>
    <xf numFmtId="0" fontId="1" fillId="0" borderId="0"/>
    <xf numFmtId="177" fontId="1" fillId="0" borderId="0" applyFont="0" applyFill="0" applyBorder="0" applyAlignment="0" applyProtection="0"/>
  </cellStyleXfs>
  <cellXfs count="1003">
    <xf numFmtId="0" fontId="0" fillId="0" borderId="0" xfId="0"/>
    <xf numFmtId="0" fontId="0" fillId="4" borderId="5"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0" borderId="0" xfId="0" applyProtection="1"/>
    <xf numFmtId="0" fontId="6" fillId="6" borderId="10" xfId="0" applyFont="1" applyFill="1" applyBorder="1" applyAlignment="1" applyProtection="1">
      <alignment horizontal="center"/>
    </xf>
    <xf numFmtId="0" fontId="0" fillId="6" borderId="11" xfId="0" applyFill="1" applyBorder="1" applyAlignment="1" applyProtection="1">
      <alignment horizontal="center"/>
    </xf>
    <xf numFmtId="166" fontId="9" fillId="0" borderId="12" xfId="0" applyNumberFormat="1" applyFont="1" applyFill="1" applyBorder="1" applyAlignment="1" applyProtection="1">
      <alignment horizontal="center"/>
    </xf>
    <xf numFmtId="166" fontId="9" fillId="0" borderId="13" xfId="0" applyNumberFormat="1" applyFont="1" applyFill="1" applyBorder="1" applyAlignment="1" applyProtection="1">
      <alignment horizontal="center"/>
    </xf>
    <xf numFmtId="20" fontId="0" fillId="6" borderId="0" xfId="0" applyNumberFormat="1" applyFill="1" applyBorder="1" applyAlignment="1" applyProtection="1">
      <alignment horizontal="center"/>
    </xf>
    <xf numFmtId="20" fontId="0" fillId="0" borderId="0" xfId="0" applyNumberFormat="1" applyBorder="1" applyAlignment="1" applyProtection="1">
      <alignment horizontal="center"/>
    </xf>
    <xf numFmtId="20" fontId="0" fillId="0" borderId="0" xfId="0" applyNumberFormat="1" applyFill="1" applyBorder="1" applyAlignment="1" applyProtection="1">
      <alignment horizontal="center"/>
    </xf>
    <xf numFmtId="20" fontId="0" fillId="6" borderId="14" xfId="0" applyNumberFormat="1" applyFill="1" applyBorder="1" applyAlignment="1" applyProtection="1">
      <alignment horizontal="center"/>
    </xf>
    <xf numFmtId="0" fontId="9" fillId="0" borderId="0" xfId="0" applyFont="1" applyProtection="1"/>
    <xf numFmtId="0" fontId="0" fillId="4" borderId="15" xfId="0" applyFill="1" applyBorder="1" applyAlignment="1" applyProtection="1">
      <alignment horizontal="center"/>
      <protection locked="0"/>
    </xf>
    <xf numFmtId="20" fontId="0" fillId="4" borderId="0" xfId="0" applyNumberFormat="1" applyFill="1" applyBorder="1" applyAlignment="1" applyProtection="1">
      <alignment horizontal="center"/>
      <protection locked="0"/>
    </xf>
    <xf numFmtId="166" fontId="18" fillId="0" borderId="12" xfId="0" applyNumberFormat="1" applyFont="1" applyFill="1" applyBorder="1" applyAlignment="1" applyProtection="1">
      <alignment horizontal="center"/>
    </xf>
    <xf numFmtId="0" fontId="18" fillId="4" borderId="16" xfId="0" applyFont="1" applyFill="1" applyBorder="1" applyAlignment="1" applyProtection="1">
      <alignment horizontal="center"/>
      <protection locked="0"/>
    </xf>
    <xf numFmtId="0" fontId="18" fillId="5" borderId="17" xfId="0" applyFont="1" applyFill="1" applyBorder="1" applyAlignment="1" applyProtection="1">
      <alignment horizontal="center"/>
      <protection locked="0"/>
    </xf>
    <xf numFmtId="0" fontId="18" fillId="4" borderId="17" xfId="0" applyFont="1" applyFill="1" applyBorder="1" applyAlignment="1" applyProtection="1">
      <alignment horizontal="center"/>
      <protection locked="0"/>
    </xf>
    <xf numFmtId="0" fontId="18" fillId="5" borderId="18" xfId="0" applyFont="1" applyFill="1" applyBorder="1" applyAlignment="1" applyProtection="1">
      <alignment horizontal="center"/>
      <protection locked="0"/>
    </xf>
    <xf numFmtId="166" fontId="19" fillId="0" borderId="12" xfId="0" applyNumberFormat="1" applyFont="1" applyFill="1" applyBorder="1" applyAlignment="1" applyProtection="1">
      <alignment horizontal="center"/>
    </xf>
    <xf numFmtId="0" fontId="19" fillId="4" borderId="19" xfId="0" applyFont="1" applyFill="1" applyBorder="1" applyAlignment="1" applyProtection="1">
      <alignment horizontal="center"/>
      <protection locked="0"/>
    </xf>
    <xf numFmtId="0" fontId="19" fillId="5" borderId="20" xfId="0" applyFont="1" applyFill="1" applyBorder="1" applyAlignment="1" applyProtection="1">
      <alignment horizontal="center"/>
      <protection locked="0"/>
    </xf>
    <xf numFmtId="0" fontId="19" fillId="4" borderId="20" xfId="0" applyFont="1" applyFill="1" applyBorder="1" applyAlignment="1" applyProtection="1">
      <alignment horizontal="center"/>
      <protection locked="0"/>
    </xf>
    <xf numFmtId="0" fontId="19" fillId="5" borderId="21" xfId="0" applyFont="1" applyFill="1" applyBorder="1" applyAlignment="1" applyProtection="1">
      <alignment horizontal="center"/>
      <protection locked="0"/>
    </xf>
    <xf numFmtId="166" fontId="21" fillId="0" borderId="12" xfId="0" applyNumberFormat="1" applyFont="1" applyFill="1" applyBorder="1" applyAlignment="1" applyProtection="1">
      <alignment horizontal="center"/>
    </xf>
    <xf numFmtId="0" fontId="21" fillId="4" borderId="19" xfId="0" applyFont="1" applyFill="1" applyBorder="1" applyAlignment="1" applyProtection="1">
      <alignment horizontal="center"/>
      <protection locked="0"/>
    </xf>
    <xf numFmtId="0" fontId="21" fillId="5" borderId="20" xfId="0" applyFont="1" applyFill="1" applyBorder="1" applyAlignment="1" applyProtection="1">
      <alignment horizontal="center"/>
      <protection locked="0"/>
    </xf>
    <xf numFmtId="0" fontId="21" fillId="4" borderId="20" xfId="0" applyFont="1" applyFill="1" applyBorder="1" applyAlignment="1" applyProtection="1">
      <alignment horizontal="center"/>
      <protection locked="0"/>
    </xf>
    <xf numFmtId="0" fontId="21" fillId="5" borderId="21" xfId="0" applyFont="1" applyFill="1" applyBorder="1" applyAlignment="1" applyProtection="1">
      <alignment horizontal="center"/>
      <protection locked="0"/>
    </xf>
    <xf numFmtId="166" fontId="22" fillId="0" borderId="12" xfId="0" applyNumberFormat="1" applyFont="1" applyFill="1" applyBorder="1" applyAlignment="1" applyProtection="1">
      <alignment horizontal="center"/>
    </xf>
    <xf numFmtId="0" fontId="22" fillId="4" borderId="19" xfId="0" applyFont="1" applyFill="1" applyBorder="1" applyAlignment="1" applyProtection="1">
      <alignment horizontal="center"/>
      <protection locked="0"/>
    </xf>
    <xf numFmtId="0" fontId="22" fillId="5" borderId="20" xfId="0" applyFont="1" applyFill="1" applyBorder="1" applyAlignment="1" applyProtection="1">
      <alignment horizontal="center"/>
      <protection locked="0"/>
    </xf>
    <xf numFmtId="0" fontId="22" fillId="4" borderId="20" xfId="0" applyFont="1" applyFill="1" applyBorder="1" applyAlignment="1" applyProtection="1">
      <alignment horizontal="center"/>
      <protection locked="0"/>
    </xf>
    <xf numFmtId="0" fontId="22" fillId="5" borderId="21" xfId="0" applyFont="1" applyFill="1" applyBorder="1" applyAlignment="1" applyProtection="1">
      <alignment horizontal="center"/>
      <protection locked="0"/>
    </xf>
    <xf numFmtId="166" fontId="23" fillId="0" borderId="12" xfId="0" applyNumberFormat="1" applyFont="1" applyFill="1" applyBorder="1" applyAlignment="1" applyProtection="1">
      <alignment horizontal="center"/>
    </xf>
    <xf numFmtId="0" fontId="23" fillId="4" borderId="19" xfId="0" applyFont="1" applyFill="1" applyBorder="1" applyAlignment="1" applyProtection="1">
      <alignment horizontal="center"/>
      <protection locked="0"/>
    </xf>
    <xf numFmtId="0" fontId="23" fillId="5" borderId="20" xfId="0" applyFont="1" applyFill="1" applyBorder="1" applyAlignment="1" applyProtection="1">
      <alignment horizontal="center"/>
      <protection locked="0"/>
    </xf>
    <xf numFmtId="0" fontId="23" fillId="4" borderId="20" xfId="0" applyFont="1" applyFill="1" applyBorder="1" applyAlignment="1" applyProtection="1">
      <alignment horizontal="center"/>
      <protection locked="0"/>
    </xf>
    <xf numFmtId="0" fontId="23" fillId="5" borderId="21" xfId="0" applyFont="1" applyFill="1" applyBorder="1" applyAlignment="1" applyProtection="1">
      <alignment horizontal="center"/>
      <protection locked="0"/>
    </xf>
    <xf numFmtId="0" fontId="24" fillId="0" borderId="0" xfId="0" applyFont="1"/>
    <xf numFmtId="0" fontId="0" fillId="6" borderId="26" xfId="0" applyFill="1" applyBorder="1" applyProtection="1"/>
    <xf numFmtId="0" fontId="18" fillId="6" borderId="0" xfId="0" applyFont="1" applyFill="1" applyProtection="1">
      <protection locked="0"/>
    </xf>
    <xf numFmtId="0" fontId="0" fillId="6" borderId="0" xfId="0" applyFill="1" applyProtection="1"/>
    <xf numFmtId="0" fontId="18" fillId="6" borderId="27" xfId="0" applyFont="1" applyFill="1" applyBorder="1" applyProtection="1"/>
    <xf numFmtId="0" fontId="18" fillId="6" borderId="28" xfId="0" applyFont="1" applyFill="1" applyBorder="1" applyProtection="1"/>
    <xf numFmtId="173" fontId="18" fillId="6" borderId="20" xfId="0" applyNumberFormat="1" applyFont="1" applyFill="1" applyBorder="1" applyProtection="1"/>
    <xf numFmtId="0" fontId="26" fillId="6" borderId="0" xfId="0" applyFont="1" applyFill="1" applyProtection="1">
      <protection locked="0"/>
    </xf>
    <xf numFmtId="0" fontId="19" fillId="6" borderId="29" xfId="0" applyFont="1" applyFill="1" applyBorder="1" applyProtection="1"/>
    <xf numFmtId="0" fontId="26" fillId="6" borderId="0" xfId="0" applyFont="1" applyFill="1" applyBorder="1" applyProtection="1"/>
    <xf numFmtId="0" fontId="19" fillId="6" borderId="0" xfId="0" applyFont="1" applyFill="1" applyBorder="1" applyProtection="1"/>
    <xf numFmtId="0" fontId="19" fillId="6" borderId="28" xfId="0" applyFont="1" applyFill="1" applyBorder="1" applyProtection="1"/>
    <xf numFmtId="173" fontId="19" fillId="6" borderId="20" xfId="0" applyNumberFormat="1" applyFont="1" applyFill="1" applyBorder="1" applyProtection="1"/>
    <xf numFmtId="0" fontId="27" fillId="6" borderId="0" xfId="0" applyFont="1" applyFill="1" applyProtection="1">
      <protection locked="0"/>
    </xf>
    <xf numFmtId="0" fontId="21" fillId="6" borderId="30" xfId="0" applyFont="1" applyFill="1" applyBorder="1" applyProtection="1"/>
    <xf numFmtId="0" fontId="21" fillId="6" borderId="28" xfId="0" applyFont="1" applyFill="1" applyBorder="1" applyProtection="1"/>
    <xf numFmtId="173" fontId="21" fillId="6" borderId="20" xfId="0" applyNumberFormat="1" applyFont="1" applyFill="1" applyBorder="1" applyProtection="1"/>
    <xf numFmtId="0" fontId="20" fillId="6" borderId="0" xfId="0" applyFont="1" applyFill="1" applyProtection="1">
      <protection locked="0"/>
    </xf>
    <xf numFmtId="0" fontId="9" fillId="6" borderId="0" xfId="0" applyFont="1" applyFill="1" applyProtection="1"/>
    <xf numFmtId="0" fontId="20" fillId="6" borderId="30" xfId="0" applyFont="1" applyFill="1" applyBorder="1" applyProtection="1"/>
    <xf numFmtId="0" fontId="20" fillId="6" borderId="28" xfId="0" applyFont="1" applyFill="1" applyBorder="1" applyProtection="1"/>
    <xf numFmtId="173" fontId="20" fillId="6" borderId="20" xfId="0" applyNumberFormat="1" applyFont="1" applyFill="1" applyBorder="1" applyProtection="1"/>
    <xf numFmtId="0" fontId="28" fillId="6" borderId="0" xfId="0" applyFont="1" applyFill="1" applyProtection="1">
      <protection locked="0"/>
    </xf>
    <xf numFmtId="0" fontId="23" fillId="6" borderId="30" xfId="0" applyFont="1" applyFill="1" applyBorder="1" applyProtection="1"/>
    <xf numFmtId="0" fontId="23" fillId="6" borderId="28" xfId="0" applyFont="1" applyFill="1" applyBorder="1" applyProtection="1"/>
    <xf numFmtId="173" fontId="23" fillId="6" borderId="20" xfId="0" applyNumberFormat="1" applyFont="1" applyFill="1" applyBorder="1" applyProtection="1"/>
    <xf numFmtId="0" fontId="29" fillId="6" borderId="0" xfId="0" applyFont="1" applyFill="1" applyProtection="1">
      <protection locked="0"/>
    </xf>
    <xf numFmtId="0" fontId="0" fillId="6" borderId="30" xfId="0" applyFill="1" applyBorder="1" applyProtection="1"/>
    <xf numFmtId="0" fontId="0" fillId="6" borderId="28" xfId="0" applyFill="1" applyBorder="1" applyProtection="1"/>
    <xf numFmtId="173" fontId="0" fillId="6" borderId="20" xfId="0" applyNumberFormat="1" applyFill="1" applyBorder="1" applyProtection="1"/>
    <xf numFmtId="0" fontId="0" fillId="6" borderId="31" xfId="0" applyFill="1" applyBorder="1" applyProtection="1"/>
    <xf numFmtId="0" fontId="9" fillId="6" borderId="32" xfId="0" applyFont="1" applyFill="1" applyBorder="1" applyProtection="1"/>
    <xf numFmtId="0" fontId="9" fillId="6" borderId="33" xfId="0" applyFont="1" applyFill="1" applyBorder="1" applyProtection="1"/>
    <xf numFmtId="173" fontId="0" fillId="6" borderId="34" xfId="0" applyNumberFormat="1" applyFill="1" applyBorder="1" applyProtection="1"/>
    <xf numFmtId="0" fontId="19" fillId="6" borderId="30" xfId="0" applyFont="1" applyFill="1" applyBorder="1" applyProtection="1"/>
    <xf numFmtId="20" fontId="17" fillId="0" borderId="2" xfId="0" applyNumberFormat="1" applyFont="1" applyFill="1" applyBorder="1" applyAlignment="1" applyProtection="1">
      <protection locked="0"/>
    </xf>
    <xf numFmtId="0" fontId="32" fillId="0" borderId="0" xfId="0" applyFont="1" applyBorder="1"/>
    <xf numFmtId="0" fontId="7" fillId="0" borderId="0" xfId="0" applyFont="1"/>
    <xf numFmtId="0" fontId="0" fillId="0" borderId="0" xfId="0" applyFill="1"/>
    <xf numFmtId="0" fontId="0" fillId="0" borderId="0" xfId="0" applyFill="1" applyBorder="1"/>
    <xf numFmtId="0" fontId="6" fillId="14" borderId="59" xfId="0" applyFont="1" applyFill="1" applyBorder="1"/>
    <xf numFmtId="0" fontId="34" fillId="14" borderId="5" xfId="0" applyFont="1" applyFill="1" applyBorder="1"/>
    <xf numFmtId="0" fontId="6" fillId="14" borderId="5" xfId="0" applyFont="1" applyFill="1" applyBorder="1" applyAlignment="1">
      <alignment horizontal="left"/>
    </xf>
    <xf numFmtId="0" fontId="6" fillId="14" borderId="5" xfId="0" applyFont="1" applyFill="1" applyBorder="1"/>
    <xf numFmtId="0" fontId="0" fillId="15" borderId="5" xfId="0" applyFill="1" applyBorder="1"/>
    <xf numFmtId="0" fontId="0" fillId="15" borderId="6" xfId="0" applyFill="1" applyBorder="1"/>
    <xf numFmtId="0" fontId="35" fillId="19" borderId="59" xfId="0" applyFont="1" applyFill="1" applyBorder="1"/>
    <xf numFmtId="0" fontId="6" fillId="19" borderId="59" xfId="0" applyFont="1" applyFill="1" applyBorder="1"/>
    <xf numFmtId="0" fontId="0" fillId="19" borderId="5" xfId="0" applyFill="1" applyBorder="1"/>
    <xf numFmtId="0" fontId="7" fillId="19" borderId="5" xfId="0" applyFont="1" applyFill="1" applyBorder="1"/>
    <xf numFmtId="0" fontId="17" fillId="0" borderId="2" xfId="0" applyFont="1" applyFill="1" applyBorder="1" applyAlignment="1" applyProtection="1">
      <protection locked="0"/>
    </xf>
    <xf numFmtId="20" fontId="17" fillId="0" borderId="2" xfId="0" applyNumberFormat="1" applyFont="1" applyFill="1" applyBorder="1" applyAlignment="1" applyProtection="1"/>
    <xf numFmtId="0" fontId="17" fillId="0" borderId="2" xfId="0" applyFont="1" applyBorder="1" applyAlignment="1" applyProtection="1"/>
    <xf numFmtId="0" fontId="6" fillId="8" borderId="0" xfId="0" applyFont="1" applyFill="1"/>
    <xf numFmtId="0" fontId="18" fillId="4" borderId="60" xfId="0" applyFont="1" applyFill="1" applyBorder="1" applyAlignment="1" applyProtection="1">
      <alignment horizontal="center"/>
      <protection locked="0"/>
    </xf>
    <xf numFmtId="0" fontId="18" fillId="5" borderId="29" xfId="0" applyFont="1" applyFill="1" applyBorder="1" applyAlignment="1" applyProtection="1">
      <alignment horizontal="center"/>
      <protection locked="0"/>
    </xf>
    <xf numFmtId="0" fontId="18" fillId="4" borderId="19" xfId="0" applyFont="1" applyFill="1" applyBorder="1" applyAlignment="1" applyProtection="1">
      <alignment horizontal="center"/>
      <protection locked="0"/>
    </xf>
    <xf numFmtId="0" fontId="18" fillId="5" borderId="20" xfId="0" applyFont="1" applyFill="1" applyBorder="1" applyAlignment="1" applyProtection="1">
      <alignment horizontal="center"/>
      <protection locked="0"/>
    </xf>
    <xf numFmtId="0" fontId="19" fillId="4" borderId="54" xfId="0" applyFont="1" applyFill="1" applyBorder="1" applyAlignment="1" applyProtection="1">
      <alignment horizontal="center"/>
      <protection locked="0"/>
    </xf>
    <xf numFmtId="0" fontId="19" fillId="5" borderId="61" xfId="0" applyFont="1" applyFill="1" applyBorder="1" applyAlignment="1" applyProtection="1">
      <alignment horizontal="center"/>
      <protection locked="0"/>
    </xf>
    <xf numFmtId="0" fontId="21" fillId="4" borderId="54" xfId="0" applyFont="1" applyFill="1" applyBorder="1" applyAlignment="1" applyProtection="1">
      <alignment horizontal="center"/>
      <protection locked="0"/>
    </xf>
    <xf numFmtId="0" fontId="21" fillId="5" borderId="61" xfId="0" applyFont="1" applyFill="1" applyBorder="1" applyAlignment="1" applyProtection="1">
      <alignment horizontal="center"/>
      <protection locked="0"/>
    </xf>
    <xf numFmtId="0" fontId="22" fillId="4" borderId="54" xfId="0" applyFont="1" applyFill="1" applyBorder="1" applyAlignment="1" applyProtection="1">
      <alignment horizontal="center"/>
      <protection locked="0"/>
    </xf>
    <xf numFmtId="0" fontId="22" fillId="5" borderId="61" xfId="0" applyFont="1" applyFill="1" applyBorder="1" applyAlignment="1" applyProtection="1">
      <alignment horizontal="center"/>
      <protection locked="0"/>
    </xf>
    <xf numFmtId="0" fontId="23" fillId="4" borderId="54" xfId="0" applyFont="1" applyFill="1" applyBorder="1" applyAlignment="1" applyProtection="1">
      <alignment horizontal="center"/>
      <protection locked="0"/>
    </xf>
    <xf numFmtId="0" fontId="23" fillId="5" borderId="61" xfId="0" applyFont="1" applyFill="1" applyBorder="1" applyAlignment="1" applyProtection="1">
      <alignment horizontal="center"/>
      <protection locked="0"/>
    </xf>
    <xf numFmtId="0" fontId="18" fillId="4" borderId="15" xfId="0" applyFont="1" applyFill="1" applyBorder="1" applyAlignment="1" applyProtection="1">
      <alignment horizontal="center"/>
      <protection locked="0"/>
    </xf>
    <xf numFmtId="0" fontId="18" fillId="5" borderId="7" xfId="0" applyFont="1" applyFill="1" applyBorder="1" applyAlignment="1" applyProtection="1">
      <alignment horizontal="center"/>
      <protection locked="0"/>
    </xf>
    <xf numFmtId="0" fontId="37" fillId="0" borderId="0" xfId="44" applyFont="1" applyProtection="1"/>
    <xf numFmtId="0" fontId="15" fillId="0" borderId="0" xfId="44" applyProtection="1"/>
    <xf numFmtId="0" fontId="37" fillId="0" borderId="0" xfId="44" applyFont="1" applyBorder="1" applyProtection="1"/>
    <xf numFmtId="0" fontId="15" fillId="0" borderId="0" xfId="44" applyFill="1" applyProtection="1"/>
    <xf numFmtId="0" fontId="15" fillId="0" borderId="0" xfId="44" applyBorder="1" applyProtection="1"/>
    <xf numFmtId="174" fontId="15" fillId="0" borderId="0" xfId="44" applyNumberFormat="1" applyProtection="1"/>
    <xf numFmtId="174" fontId="15" fillId="0" borderId="0" xfId="44" applyNumberFormat="1" applyBorder="1" applyProtection="1"/>
    <xf numFmtId="0" fontId="40" fillId="0" borderId="54" xfId="44" applyFont="1" applyBorder="1" applyAlignment="1" applyProtection="1">
      <alignment horizontal="centerContinuous"/>
    </xf>
    <xf numFmtId="0" fontId="15" fillId="0" borderId="54" xfId="44" applyBorder="1" applyAlignment="1" applyProtection="1">
      <alignment horizontal="centerContinuous"/>
    </xf>
    <xf numFmtId="0" fontId="40" fillId="0" borderId="25" xfId="44" applyNumberFormat="1" applyFont="1" applyBorder="1" applyAlignment="1" applyProtection="1">
      <alignment horizontal="centerContinuous"/>
    </xf>
    <xf numFmtId="0" fontId="40" fillId="0" borderId="55" xfId="44" applyNumberFormat="1" applyFont="1" applyBorder="1" applyAlignment="1" applyProtection="1">
      <alignment horizontal="centerContinuous"/>
    </xf>
    <xf numFmtId="0" fontId="15" fillId="0" borderId="25" xfId="44" applyBorder="1" applyAlignment="1" applyProtection="1">
      <alignment horizontal="centerContinuous"/>
    </xf>
    <xf numFmtId="0" fontId="40" fillId="0" borderId="54" xfId="44" applyFont="1" applyFill="1" applyBorder="1" applyAlignment="1" applyProtection="1">
      <alignment horizontal="centerContinuous"/>
    </xf>
    <xf numFmtId="0" fontId="15" fillId="0" borderId="25" xfId="44" applyFill="1" applyBorder="1" applyAlignment="1" applyProtection="1">
      <alignment horizontal="centerContinuous"/>
    </xf>
    <xf numFmtId="0" fontId="40" fillId="0" borderId="25" xfId="44" applyNumberFormat="1" applyFont="1" applyFill="1" applyBorder="1" applyAlignment="1" applyProtection="1">
      <alignment horizontal="centerContinuous"/>
    </xf>
    <xf numFmtId="0" fontId="40" fillId="0" borderId="55" xfId="44" applyNumberFormat="1" applyFont="1" applyFill="1" applyBorder="1" applyAlignment="1" applyProtection="1">
      <alignment horizontal="centerContinuous"/>
    </xf>
    <xf numFmtId="0" fontId="15" fillId="0" borderId="54" xfId="44" applyFill="1" applyBorder="1" applyProtection="1"/>
    <xf numFmtId="0" fontId="15" fillId="0" borderId="25" xfId="44" applyFill="1" applyBorder="1" applyProtection="1"/>
    <xf numFmtId="0" fontId="15" fillId="0" borderId="55" xfId="44" applyFill="1" applyBorder="1" applyProtection="1"/>
    <xf numFmtId="0" fontId="15" fillId="0" borderId="54" xfId="44" applyFill="1" applyBorder="1" applyAlignment="1" applyProtection="1">
      <alignment horizontal="centerContinuous"/>
    </xf>
    <xf numFmtId="0" fontId="13" fillId="0" borderId="0" xfId="44" applyFont="1" applyFill="1" applyBorder="1" applyAlignment="1" applyProtection="1">
      <alignment horizontal="left"/>
    </xf>
    <xf numFmtId="0" fontId="40" fillId="0" borderId="56" xfId="44" applyFont="1" applyBorder="1" applyAlignment="1" applyProtection="1">
      <alignment horizontal="centerContinuous"/>
    </xf>
    <xf numFmtId="0" fontId="15" fillId="0" borderId="56" xfId="44" applyBorder="1" applyAlignment="1" applyProtection="1">
      <alignment horizontal="centerContinuous"/>
    </xf>
    <xf numFmtId="175" fontId="40" fillId="0" borderId="10" xfId="44" applyNumberFormat="1" applyFont="1" applyBorder="1" applyAlignment="1" applyProtection="1">
      <alignment horizontal="centerContinuous"/>
    </xf>
    <xf numFmtId="175" fontId="40" fillId="0" borderId="57" xfId="44" applyNumberFormat="1" applyFont="1" applyBorder="1" applyAlignment="1" applyProtection="1">
      <alignment horizontal="centerContinuous"/>
    </xf>
    <xf numFmtId="0" fontId="15" fillId="0" borderId="10" xfId="44" applyBorder="1" applyAlignment="1" applyProtection="1">
      <alignment horizontal="centerContinuous"/>
    </xf>
    <xf numFmtId="0" fontId="40" fillId="0" borderId="56" xfId="44" applyFont="1" applyFill="1" applyBorder="1" applyAlignment="1" applyProtection="1">
      <alignment horizontal="centerContinuous"/>
    </xf>
    <xf numFmtId="0" fontId="15" fillId="0" borderId="10" xfId="44" applyFill="1" applyBorder="1" applyAlignment="1" applyProtection="1">
      <alignment horizontal="centerContinuous"/>
    </xf>
    <xf numFmtId="175" fontId="40" fillId="0" borderId="10" xfId="44" applyNumberFormat="1" applyFont="1" applyFill="1" applyBorder="1" applyAlignment="1" applyProtection="1">
      <alignment horizontal="centerContinuous"/>
    </xf>
    <xf numFmtId="175" fontId="40" fillId="0" borderId="57" xfId="44" applyNumberFormat="1" applyFont="1" applyFill="1" applyBorder="1" applyAlignment="1" applyProtection="1">
      <alignment horizontal="centerContinuous"/>
    </xf>
    <xf numFmtId="0" fontId="13" fillId="0" borderId="56" xfId="44" applyFont="1" applyFill="1" applyBorder="1" applyProtection="1"/>
    <xf numFmtId="0" fontId="15" fillId="0" borderId="10" xfId="44" applyFill="1" applyBorder="1" applyProtection="1"/>
    <xf numFmtId="0" fontId="15" fillId="0" borderId="57" xfId="44" applyFill="1" applyBorder="1" applyProtection="1"/>
    <xf numFmtId="0" fontId="15" fillId="0" borderId="56" xfId="44" applyFill="1" applyBorder="1" applyAlignment="1" applyProtection="1">
      <alignment horizontal="centerContinuous"/>
    </xf>
    <xf numFmtId="0" fontId="15" fillId="0" borderId="52" xfId="44" applyFill="1" applyBorder="1" applyAlignment="1" applyProtection="1">
      <alignment horizontal="center"/>
    </xf>
    <xf numFmtId="0" fontId="15" fillId="0" borderId="22" xfId="44" applyFill="1" applyBorder="1" applyAlignment="1" applyProtection="1">
      <alignment horizontal="center"/>
    </xf>
    <xf numFmtId="0" fontId="42" fillId="20" borderId="22" xfId="44" applyFont="1" applyFill="1" applyBorder="1" applyProtection="1">
      <protection locked="0"/>
    </xf>
    <xf numFmtId="1" fontId="43" fillId="20" borderId="53" xfId="44" applyNumberFormat="1" applyFont="1" applyFill="1" applyBorder="1" applyAlignment="1" applyProtection="1">
      <alignment horizontal="right" vertical="top" wrapText="1"/>
    </xf>
    <xf numFmtId="0" fontId="15" fillId="0" borderId="0" xfId="44" applyFill="1" applyBorder="1" applyAlignment="1" applyProtection="1">
      <alignment horizontal="left"/>
      <protection locked="0"/>
    </xf>
    <xf numFmtId="0" fontId="15" fillId="7" borderId="0" xfId="44" applyFill="1" applyBorder="1"/>
    <xf numFmtId="0" fontId="15" fillId="7" borderId="0" xfId="44" applyFill="1"/>
    <xf numFmtId="0" fontId="15" fillId="0" borderId="0" xfId="44"/>
    <xf numFmtId="0" fontId="46" fillId="21" borderId="64" xfId="44" applyFont="1" applyFill="1" applyBorder="1" applyProtection="1"/>
    <xf numFmtId="0" fontId="47" fillId="21" borderId="47" xfId="44" applyFont="1" applyFill="1" applyBorder="1" applyProtection="1"/>
    <xf numFmtId="0" fontId="50" fillId="0" borderId="65" xfId="44" applyFont="1" applyBorder="1" applyProtection="1"/>
    <xf numFmtId="0" fontId="50" fillId="0" borderId="66" xfId="44" applyFont="1" applyBorder="1" applyProtection="1"/>
    <xf numFmtId="0" fontId="15" fillId="0" borderId="25" xfId="44" applyBorder="1" applyProtection="1"/>
    <xf numFmtId="0" fontId="15" fillId="0" borderId="25" xfId="44" applyBorder="1" applyAlignment="1" applyProtection="1">
      <alignment horizontal="center"/>
    </xf>
    <xf numFmtId="0" fontId="15" fillId="0" borderId="0" xfId="44" applyBorder="1" applyAlignment="1" applyProtection="1">
      <alignment horizontal="center"/>
    </xf>
    <xf numFmtId="0" fontId="15" fillId="0" borderId="0" xfId="44" applyFill="1" applyBorder="1" applyProtection="1"/>
    <xf numFmtId="0" fontId="52" fillId="0" borderId="0" xfId="45" applyFont="1" applyProtection="1"/>
    <xf numFmtId="0" fontId="15" fillId="0" borderId="63" xfId="44" applyBorder="1" applyProtection="1"/>
    <xf numFmtId="0" fontId="15" fillId="0" borderId="62" xfId="44" applyBorder="1" applyProtection="1"/>
    <xf numFmtId="0" fontId="15" fillId="0" borderId="24" xfId="44" applyBorder="1" applyProtection="1"/>
    <xf numFmtId="0" fontId="15" fillId="0" borderId="67" xfId="44" applyBorder="1" applyProtection="1"/>
    <xf numFmtId="0" fontId="15" fillId="0" borderId="68" xfId="44" applyBorder="1" applyProtection="1"/>
    <xf numFmtId="0" fontId="15" fillId="0" borderId="69" xfId="44" applyBorder="1" applyProtection="1"/>
    <xf numFmtId="0" fontId="15" fillId="0" borderId="72" xfId="44" applyBorder="1" applyProtection="1"/>
    <xf numFmtId="0" fontId="15" fillId="0" borderId="73" xfId="44" applyBorder="1" applyProtection="1"/>
    <xf numFmtId="0" fontId="51" fillId="0" borderId="0" xfId="45" applyProtection="1"/>
    <xf numFmtId="0" fontId="51" fillId="0" borderId="0" xfId="45" applyFill="1" applyProtection="1"/>
    <xf numFmtId="0" fontId="15" fillId="0" borderId="52" xfId="44" applyBorder="1" applyProtection="1"/>
    <xf numFmtId="0" fontId="15" fillId="0" borderId="22" xfId="44" applyBorder="1" applyProtection="1"/>
    <xf numFmtId="0" fontId="15" fillId="0" borderId="53" xfId="44" applyFill="1" applyBorder="1" applyProtection="1"/>
    <xf numFmtId="0" fontId="51" fillId="0" borderId="0" xfId="44" applyFont="1" applyFill="1" applyAlignment="1" applyProtection="1">
      <alignment horizontal="right"/>
    </xf>
    <xf numFmtId="0" fontId="15" fillId="0" borderId="0" xfId="44" applyFill="1"/>
    <xf numFmtId="0" fontId="43" fillId="0" borderId="0" xfId="44" applyFont="1" applyFill="1" applyAlignment="1">
      <alignment horizontal="right"/>
    </xf>
    <xf numFmtId="1" fontId="15" fillId="0" borderId="0" xfId="44" applyNumberFormat="1" applyFill="1"/>
    <xf numFmtId="0" fontId="48" fillId="0" borderId="0" xfId="44" applyFont="1" applyProtection="1"/>
    <xf numFmtId="0" fontId="48" fillId="0" borderId="0" xfId="44" applyFont="1"/>
    <xf numFmtId="1" fontId="15" fillId="0" borderId="0" xfId="44" applyNumberFormat="1"/>
    <xf numFmtId="0" fontId="55" fillId="0" borderId="49" xfId="44" applyFont="1" applyBorder="1" applyAlignment="1">
      <alignment horizontal="centerContinuous"/>
    </xf>
    <xf numFmtId="0" fontId="51" fillId="0" borderId="0" xfId="47"/>
    <xf numFmtId="0" fontId="15" fillId="0" borderId="25" xfId="44" applyFont="1" applyFill="1" applyBorder="1" applyProtection="1">
      <protection locked="0"/>
    </xf>
    <xf numFmtId="0" fontId="15" fillId="0" borderId="61" xfId="44" applyFont="1" applyFill="1" applyBorder="1" applyAlignment="1">
      <alignment horizontal="center"/>
    </xf>
    <xf numFmtId="0" fontId="15" fillId="0" borderId="0" xfId="44" applyFont="1" applyFill="1" applyBorder="1" applyAlignment="1">
      <alignment horizontal="center"/>
    </xf>
    <xf numFmtId="0" fontId="15" fillId="0" borderId="0" xfId="44" applyFont="1" applyFill="1" applyBorder="1" applyProtection="1">
      <protection locked="0"/>
    </xf>
    <xf numFmtId="1" fontId="57" fillId="0" borderId="23" xfId="44" applyNumberFormat="1" applyFont="1" applyFill="1" applyBorder="1" applyAlignment="1" applyProtection="1">
      <alignment vertical="top"/>
      <protection locked="0"/>
    </xf>
    <xf numFmtId="0" fontId="15" fillId="0" borderId="54" xfId="44" applyFont="1" applyFill="1" applyBorder="1" applyAlignment="1">
      <alignment horizontal="center"/>
    </xf>
    <xf numFmtId="0" fontId="15" fillId="0" borderId="25" xfId="44" applyFont="1" applyFill="1" applyBorder="1" applyAlignment="1">
      <alignment horizontal="center"/>
    </xf>
    <xf numFmtId="1" fontId="57" fillId="0" borderId="55" xfId="44" applyNumberFormat="1" applyFont="1" applyFill="1" applyBorder="1" applyAlignment="1" applyProtection="1">
      <alignment vertical="top"/>
      <protection locked="0"/>
    </xf>
    <xf numFmtId="0" fontId="58" fillId="0" borderId="25" xfId="47" applyFont="1" applyBorder="1"/>
    <xf numFmtId="0" fontId="58" fillId="0" borderId="0" xfId="47" applyFont="1"/>
    <xf numFmtId="0" fontId="61" fillId="21" borderId="52" xfId="47" applyFont="1" applyFill="1" applyBorder="1"/>
    <xf numFmtId="0" fontId="61" fillId="21" borderId="22" xfId="47" applyFont="1" applyFill="1" applyBorder="1"/>
    <xf numFmtId="0" fontId="61" fillId="21" borderId="22" xfId="44" applyFont="1" applyFill="1" applyBorder="1"/>
    <xf numFmtId="0" fontId="61" fillId="21" borderId="22" xfId="47" applyFont="1" applyFill="1" applyBorder="1" applyAlignment="1">
      <alignment horizontal="right"/>
    </xf>
    <xf numFmtId="0" fontId="61" fillId="21" borderId="53" xfId="47" applyFont="1" applyFill="1" applyBorder="1" applyAlignment="1">
      <alignment horizontal="right"/>
    </xf>
    <xf numFmtId="0" fontId="13" fillId="0" borderId="0" xfId="47" applyFont="1"/>
    <xf numFmtId="0" fontId="13" fillId="11" borderId="52" xfId="47" applyFont="1" applyFill="1" applyBorder="1"/>
    <xf numFmtId="0" fontId="13" fillId="11" borderId="22" xfId="47" applyFont="1" applyFill="1" applyBorder="1"/>
    <xf numFmtId="0" fontId="13" fillId="11" borderId="53" xfId="47" applyFont="1" applyFill="1" applyBorder="1" applyAlignment="1">
      <alignment horizontal="right"/>
    </xf>
    <xf numFmtId="0" fontId="13" fillId="0" borderId="52" xfId="47" applyFont="1" applyBorder="1"/>
    <xf numFmtId="0" fontId="13" fillId="0" borderId="22" xfId="47" applyFont="1" applyBorder="1"/>
    <xf numFmtId="0" fontId="13" fillId="0" borderId="22" xfId="44" applyFont="1" applyBorder="1"/>
    <xf numFmtId="0" fontId="13" fillId="0" borderId="22" xfId="47" applyFont="1" applyBorder="1" applyAlignment="1">
      <alignment horizontal="right"/>
    </xf>
    <xf numFmtId="0" fontId="13" fillId="0" borderId="53" xfId="47" applyFont="1" applyBorder="1" applyAlignment="1">
      <alignment horizontal="right"/>
    </xf>
    <xf numFmtId="0" fontId="64" fillId="0" borderId="50" xfId="48" applyFont="1" applyBorder="1" applyAlignment="1">
      <alignment horizontal="centerContinuous"/>
    </xf>
    <xf numFmtId="0" fontId="39" fillId="0" borderId="50" xfId="48" applyNumberFormat="1" applyFont="1" applyBorder="1" applyAlignment="1">
      <alignment horizontal="centerContinuous"/>
    </xf>
    <xf numFmtId="0" fontId="63" fillId="0" borderId="50" xfId="48" applyNumberFormat="1" applyFont="1" applyBorder="1" applyAlignment="1">
      <alignment horizontal="centerContinuous" vertical="top"/>
    </xf>
    <xf numFmtId="0" fontId="65" fillId="0" borderId="50" xfId="48" applyFont="1" applyBorder="1" applyAlignment="1">
      <alignment horizontal="centerContinuous"/>
    </xf>
    <xf numFmtId="0" fontId="63" fillId="0" borderId="51" xfId="48" applyNumberFormat="1" applyFont="1" applyBorder="1" applyAlignment="1">
      <alignment horizontal="centerContinuous" vertical="top"/>
    </xf>
    <xf numFmtId="0" fontId="66" fillId="0" borderId="0" xfId="47" applyFont="1"/>
    <xf numFmtId="0" fontId="67" fillId="0" borderId="64" xfId="48" applyFont="1" applyBorder="1" applyAlignment="1">
      <alignment horizontal="centerContinuous"/>
    </xf>
    <xf numFmtId="0" fontId="68" fillId="0" borderId="2" xfId="48" applyFont="1" applyBorder="1" applyAlignment="1">
      <alignment horizontal="centerContinuous"/>
    </xf>
    <xf numFmtId="175" fontId="39" fillId="0" borderId="2" xfId="48" applyNumberFormat="1" applyFont="1" applyBorder="1" applyAlignment="1">
      <alignment horizontal="centerContinuous"/>
    </xf>
    <xf numFmtId="175" fontId="63" fillId="0" borderId="2" xfId="48" applyNumberFormat="1" applyFont="1" applyBorder="1" applyAlignment="1">
      <alignment horizontal="centerContinuous" vertical="top"/>
    </xf>
    <xf numFmtId="1" fontId="67" fillId="0" borderId="64" xfId="48" applyNumberFormat="1" applyFont="1" applyBorder="1" applyAlignment="1">
      <alignment horizontal="centerContinuous"/>
    </xf>
    <xf numFmtId="175" fontId="63" fillId="0" borderId="47" xfId="48" applyNumberFormat="1" applyFont="1" applyBorder="1" applyAlignment="1">
      <alignment horizontal="centerContinuous" vertical="top"/>
    </xf>
    <xf numFmtId="0" fontId="68" fillId="0" borderId="0" xfId="47" applyFont="1"/>
    <xf numFmtId="0" fontId="15" fillId="0" borderId="70" xfId="44" applyFill="1" applyBorder="1" applyAlignment="1" applyProtection="1">
      <alignment horizontal="center"/>
    </xf>
    <xf numFmtId="0" fontId="15" fillId="0" borderId="71" xfId="44" applyFill="1" applyBorder="1" applyAlignment="1" applyProtection="1">
      <alignment horizontal="center"/>
    </xf>
    <xf numFmtId="0" fontId="42" fillId="20" borderId="71" xfId="44" applyFont="1" applyFill="1" applyBorder="1" applyProtection="1">
      <protection locked="0"/>
    </xf>
    <xf numFmtId="0" fontId="52" fillId="20" borderId="25" xfId="44" applyNumberFormat="1" applyFont="1" applyFill="1" applyBorder="1" applyAlignment="1" applyProtection="1">
      <alignment wrapText="1"/>
    </xf>
    <xf numFmtId="1" fontId="15" fillId="20" borderId="68" xfId="44" applyNumberFormat="1" applyFill="1" applyBorder="1" applyProtection="1">
      <protection locked="0"/>
    </xf>
    <xf numFmtId="0" fontId="52" fillId="20" borderId="24" xfId="44" applyNumberFormat="1" applyFont="1" applyFill="1" applyBorder="1" applyAlignment="1" applyProtection="1">
      <alignment wrapText="1"/>
    </xf>
    <xf numFmtId="1" fontId="15" fillId="20" borderId="63" xfId="44" applyNumberFormat="1" applyFill="1" applyBorder="1" applyProtection="1">
      <protection locked="0"/>
    </xf>
    <xf numFmtId="0" fontId="51" fillId="0" borderId="0" xfId="47" applyFont="1"/>
    <xf numFmtId="0" fontId="52" fillId="20" borderId="71" xfId="44" applyNumberFormat="1" applyFont="1" applyFill="1" applyBorder="1" applyAlignment="1" applyProtection="1">
      <alignment wrapText="1"/>
    </xf>
    <xf numFmtId="0" fontId="52" fillId="20" borderId="68" xfId="44" applyNumberFormat="1" applyFont="1" applyFill="1" applyBorder="1" applyAlignment="1" applyProtection="1">
      <alignment wrapText="1"/>
    </xf>
    <xf numFmtId="1" fontId="15" fillId="20" borderId="69" xfId="44" applyNumberFormat="1" applyFill="1" applyBorder="1" applyProtection="1">
      <protection locked="0"/>
    </xf>
    <xf numFmtId="0" fontId="52" fillId="20" borderId="76" xfId="44" applyNumberFormat="1" applyFont="1" applyFill="1" applyBorder="1" applyAlignment="1" applyProtection="1">
      <alignment wrapText="1"/>
    </xf>
    <xf numFmtId="1" fontId="15" fillId="20" borderId="73" xfId="44" applyNumberFormat="1" applyFill="1" applyBorder="1" applyProtection="1">
      <protection locked="0"/>
    </xf>
    <xf numFmtId="0" fontId="58" fillId="0" borderId="0" xfId="47" applyFont="1" applyBorder="1"/>
    <xf numFmtId="0" fontId="59" fillId="0" borderId="0" xfId="44" applyFont="1" applyFill="1" applyBorder="1" applyAlignment="1">
      <alignment horizontal="center"/>
    </xf>
    <xf numFmtId="1" fontId="60" fillId="0" borderId="0" xfId="44" applyNumberFormat="1" applyFont="1" applyFill="1" applyBorder="1" applyAlignment="1" applyProtection="1">
      <alignment vertical="top"/>
      <protection locked="0"/>
    </xf>
    <xf numFmtId="0" fontId="64" fillId="0" borderId="0" xfId="47" applyFont="1"/>
    <xf numFmtId="0" fontId="69" fillId="0" borderId="0" xfId="47" applyFont="1"/>
    <xf numFmtId="0" fontId="63" fillId="0" borderId="0" xfId="47" applyFont="1"/>
    <xf numFmtId="175" fontId="63" fillId="0" borderId="77" xfId="48" applyNumberFormat="1" applyFont="1" applyBorder="1" applyAlignment="1">
      <alignment horizontal="centerContinuous" vertical="top"/>
    </xf>
    <xf numFmtId="0" fontId="15" fillId="0" borderId="71" xfId="44" applyFont="1" applyFill="1" applyBorder="1" applyAlignment="1" applyProtection="1">
      <alignment wrapText="1"/>
      <protection locked="0"/>
    </xf>
    <xf numFmtId="0" fontId="15" fillId="0" borderId="72" xfId="44" applyFill="1" applyBorder="1" applyAlignment="1" applyProtection="1">
      <alignment horizontal="center"/>
    </xf>
    <xf numFmtId="0" fontId="15" fillId="0" borderId="76" xfId="44" applyFill="1" applyBorder="1" applyAlignment="1" applyProtection="1">
      <alignment horizontal="center"/>
    </xf>
    <xf numFmtId="0" fontId="42" fillId="20" borderId="76" xfId="44" applyFont="1" applyFill="1" applyBorder="1" applyProtection="1">
      <protection locked="0"/>
    </xf>
    <xf numFmtId="0" fontId="15" fillId="0" borderId="76" xfId="44" applyFont="1" applyFill="1" applyBorder="1" applyAlignment="1" applyProtection="1">
      <alignment wrapText="1"/>
      <protection locked="0"/>
    </xf>
    <xf numFmtId="0" fontId="50" fillId="0" borderId="0" xfId="44" applyFont="1" applyFill="1" applyBorder="1" applyProtection="1"/>
    <xf numFmtId="0" fontId="50" fillId="0" borderId="0" xfId="44" applyFont="1" applyBorder="1" applyProtection="1"/>
    <xf numFmtId="0" fontId="15" fillId="0" borderId="76" xfId="44" applyBorder="1" applyProtection="1"/>
    <xf numFmtId="0" fontId="0" fillId="29" borderId="5" xfId="0" applyFill="1" applyBorder="1" applyAlignment="1" applyProtection="1">
      <alignment horizontal="center"/>
      <protection locked="0"/>
    </xf>
    <xf numFmtId="0" fontId="6" fillId="6" borderId="0" xfId="0" applyFont="1" applyFill="1" applyBorder="1" applyAlignment="1" applyProtection="1">
      <alignment horizontal="center"/>
    </xf>
    <xf numFmtId="166" fontId="18" fillId="0" borderId="79" xfId="0" applyNumberFormat="1" applyFont="1" applyFill="1" applyBorder="1" applyAlignment="1" applyProtection="1">
      <alignment horizontal="center"/>
    </xf>
    <xf numFmtId="166" fontId="19" fillId="0" borderId="46" xfId="0" applyNumberFormat="1" applyFont="1" applyFill="1" applyBorder="1" applyAlignment="1" applyProtection="1">
      <alignment horizontal="center"/>
    </xf>
    <xf numFmtId="166" fontId="21" fillId="0" borderId="46" xfId="0" applyNumberFormat="1" applyFont="1" applyFill="1" applyBorder="1" applyAlignment="1" applyProtection="1">
      <alignment horizontal="center"/>
    </xf>
    <xf numFmtId="166" fontId="22" fillId="0" borderId="46" xfId="0" applyNumberFormat="1" applyFont="1" applyFill="1" applyBorder="1" applyAlignment="1" applyProtection="1">
      <alignment horizontal="center"/>
    </xf>
    <xf numFmtId="166" fontId="23" fillId="0" borderId="46" xfId="0" applyNumberFormat="1" applyFont="1" applyFill="1" applyBorder="1" applyAlignment="1" applyProtection="1">
      <alignment horizontal="center"/>
    </xf>
    <xf numFmtId="0" fontId="15" fillId="17" borderId="63" xfId="44" applyFill="1" applyBorder="1" applyProtection="1"/>
    <xf numFmtId="0" fontId="15" fillId="17" borderId="69" xfId="44" applyFill="1" applyBorder="1" applyProtection="1"/>
    <xf numFmtId="0" fontId="15" fillId="17" borderId="73" xfId="44" applyFill="1" applyBorder="1" applyProtection="1"/>
    <xf numFmtId="0" fontId="15" fillId="17" borderId="62" xfId="44" applyFill="1" applyBorder="1" applyProtection="1"/>
    <xf numFmtId="0" fontId="15" fillId="0" borderId="54" xfId="44" applyFill="1" applyBorder="1" applyAlignment="1" applyProtection="1">
      <alignment horizontal="center"/>
    </xf>
    <xf numFmtId="0" fontId="15" fillId="0" borderId="25" xfId="44" applyFill="1" applyBorder="1" applyAlignment="1" applyProtection="1">
      <alignment horizontal="center"/>
    </xf>
    <xf numFmtId="0" fontId="42" fillId="20" borderId="25" xfId="44" applyFont="1" applyFill="1" applyBorder="1" applyProtection="1">
      <protection locked="0"/>
    </xf>
    <xf numFmtId="0" fontId="15" fillId="22" borderId="0" xfId="44" applyFill="1" applyBorder="1" applyAlignment="1" applyProtection="1">
      <alignment horizontal="center"/>
    </xf>
    <xf numFmtId="0" fontId="42" fillId="22" borderId="0" xfId="44" applyFont="1" applyFill="1" applyBorder="1" applyProtection="1">
      <protection locked="0"/>
    </xf>
    <xf numFmtId="1" fontId="43" fillId="22" borderId="0" xfId="44" applyNumberFormat="1" applyFont="1" applyFill="1" applyBorder="1" applyAlignment="1" applyProtection="1">
      <alignment horizontal="right" vertical="top" wrapText="1"/>
    </xf>
    <xf numFmtId="1" fontId="43" fillId="20" borderId="22" xfId="44" applyNumberFormat="1" applyFont="1" applyFill="1" applyBorder="1" applyAlignment="1" applyProtection="1">
      <alignment horizontal="right" vertical="top" wrapText="1"/>
    </xf>
    <xf numFmtId="0" fontId="15" fillId="17" borderId="43" xfId="44" applyFill="1" applyBorder="1" applyProtection="1"/>
    <xf numFmtId="0" fontId="15" fillId="27" borderId="43" xfId="44" applyFill="1" applyBorder="1" applyProtection="1"/>
    <xf numFmtId="0" fontId="15" fillId="18" borderId="43" xfId="44" applyFill="1" applyBorder="1" applyProtection="1"/>
    <xf numFmtId="0" fontId="15" fillId="24" borderId="43" xfId="44" applyFill="1" applyBorder="1" applyProtection="1"/>
    <xf numFmtId="0" fontId="15" fillId="28" borderId="43" xfId="44" applyFill="1" applyBorder="1" applyProtection="1"/>
    <xf numFmtId="0" fontId="15" fillId="16" borderId="43" xfId="44" applyFill="1" applyBorder="1" applyProtection="1"/>
    <xf numFmtId="0" fontId="15" fillId="30" borderId="43" xfId="44" applyFill="1" applyBorder="1" applyProtection="1"/>
    <xf numFmtId="0" fontId="15" fillId="11" borderId="43" xfId="44" applyFill="1" applyBorder="1" applyProtection="1"/>
    <xf numFmtId="0" fontId="15" fillId="25" borderId="43" xfId="44" applyFill="1" applyBorder="1" applyProtection="1"/>
    <xf numFmtId="0" fontId="15" fillId="23" borderId="43" xfId="44" applyFill="1" applyBorder="1" applyProtection="1"/>
    <xf numFmtId="0" fontId="15" fillId="22" borderId="43" xfId="44" applyFill="1" applyBorder="1" applyProtection="1"/>
    <xf numFmtId="0" fontId="15" fillId="14" borderId="43" xfId="44" applyFill="1" applyBorder="1" applyProtection="1"/>
    <xf numFmtId="0" fontId="15" fillId="0" borderId="88" xfId="44" applyBorder="1" applyProtection="1"/>
    <xf numFmtId="0" fontId="15" fillId="17" borderId="48" xfId="44" applyFill="1" applyBorder="1" applyProtection="1"/>
    <xf numFmtId="0" fontId="48" fillId="22" borderId="39" xfId="44" applyFont="1" applyFill="1" applyBorder="1" applyProtection="1"/>
    <xf numFmtId="0" fontId="48" fillId="17" borderId="39" xfId="44" applyFont="1" applyFill="1" applyBorder="1" applyProtection="1"/>
    <xf numFmtId="0" fontId="48" fillId="28" borderId="39" xfId="44" applyFont="1" applyFill="1" applyBorder="1" applyProtection="1"/>
    <xf numFmtId="0" fontId="48" fillId="18" borderId="39" xfId="44" applyFont="1" applyFill="1" applyBorder="1" applyProtection="1"/>
    <xf numFmtId="0" fontId="48" fillId="24" borderId="39" xfId="44" applyFont="1" applyFill="1" applyBorder="1" applyProtection="1"/>
    <xf numFmtId="0" fontId="48" fillId="27" borderId="39" xfId="44" applyFont="1" applyFill="1" applyBorder="1" applyProtection="1"/>
    <xf numFmtId="0" fontId="48" fillId="16" borderId="39" xfId="44" applyFont="1" applyFill="1" applyBorder="1" applyProtection="1"/>
    <xf numFmtId="0" fontId="48" fillId="30" borderId="39" xfId="44" applyFont="1" applyFill="1" applyBorder="1" applyProtection="1"/>
    <xf numFmtId="0" fontId="48" fillId="11" borderId="39" xfId="44" applyFont="1" applyFill="1" applyBorder="1" applyProtection="1"/>
    <xf numFmtId="0" fontId="48" fillId="25" borderId="39" xfId="44" applyFont="1" applyFill="1" applyBorder="1" applyProtection="1"/>
    <xf numFmtId="0" fontId="48" fillId="23" borderId="39" xfId="44" applyFont="1" applyFill="1" applyBorder="1" applyProtection="1"/>
    <xf numFmtId="0" fontId="48" fillId="14" borderId="39" xfId="44" applyFont="1" applyFill="1" applyBorder="1" applyProtection="1"/>
    <xf numFmtId="0" fontId="49" fillId="0" borderId="0" xfId="47" applyFont="1"/>
    <xf numFmtId="0" fontId="43" fillId="0" borderId="0" xfId="47" applyFont="1"/>
    <xf numFmtId="0" fontId="49" fillId="0" borderId="0" xfId="47" applyFont="1" applyBorder="1"/>
    <xf numFmtId="0" fontId="71" fillId="0" borderId="0" xfId="47" applyFont="1" applyBorder="1"/>
    <xf numFmtId="0" fontId="15" fillId="22" borderId="0" xfId="44" applyFont="1" applyFill="1" applyBorder="1" applyAlignment="1">
      <alignment horizontal="center"/>
    </xf>
    <xf numFmtId="0" fontId="15" fillId="22" borderId="0" xfId="44" applyFont="1" applyFill="1" applyBorder="1" applyProtection="1">
      <protection locked="0"/>
    </xf>
    <xf numFmtId="0" fontId="49" fillId="22" borderId="0" xfId="44" applyFont="1" applyFill="1" applyBorder="1" applyAlignment="1">
      <alignment horizontal="center"/>
    </xf>
    <xf numFmtId="0" fontId="15" fillId="20" borderId="4" xfId="44" applyFont="1" applyFill="1" applyBorder="1" applyAlignment="1">
      <alignment horizontal="center"/>
    </xf>
    <xf numFmtId="0" fontId="15" fillId="0" borderId="4" xfId="44" applyFont="1" applyFill="1" applyBorder="1" applyProtection="1">
      <protection locked="0"/>
    </xf>
    <xf numFmtId="0" fontId="55" fillId="0" borderId="40" xfId="44" applyFont="1" applyBorder="1" applyAlignment="1">
      <alignment horizontal="centerContinuous"/>
    </xf>
    <xf numFmtId="0" fontId="56" fillId="0" borderId="35" xfId="44" applyFont="1" applyBorder="1" applyAlignment="1">
      <alignment horizontal="centerContinuous"/>
    </xf>
    <xf numFmtId="0" fontId="55" fillId="0" borderId="35" xfId="44" applyNumberFormat="1" applyFont="1" applyBorder="1" applyAlignment="1">
      <alignment horizontal="centerContinuous"/>
    </xf>
    <xf numFmtId="0" fontId="56" fillId="0" borderId="35" xfId="44" applyNumberFormat="1" applyFont="1" applyBorder="1" applyAlignment="1">
      <alignment horizontal="centerContinuous" vertical="top"/>
    </xf>
    <xf numFmtId="0" fontId="44" fillId="0" borderId="54" xfId="44" applyFont="1" applyBorder="1" applyAlignment="1">
      <alignment horizontal="centerContinuous"/>
    </xf>
    <xf numFmtId="0" fontId="38" fillId="0" borderId="25" xfId="44" applyFont="1" applyBorder="1" applyAlignment="1">
      <alignment horizontal="centerContinuous"/>
    </xf>
    <xf numFmtId="175" fontId="44" fillId="0" borderId="25" xfId="44" applyNumberFormat="1" applyFont="1" applyBorder="1" applyAlignment="1">
      <alignment horizontal="centerContinuous"/>
    </xf>
    <xf numFmtId="175" fontId="38" fillId="0" borderId="55" xfId="44" applyNumberFormat="1" applyFont="1" applyBorder="1" applyAlignment="1">
      <alignment horizontal="centerContinuous" vertical="top"/>
    </xf>
    <xf numFmtId="0" fontId="15" fillId="20" borderId="83" xfId="44" applyFont="1" applyFill="1" applyBorder="1" applyAlignment="1">
      <alignment horizontal="center"/>
    </xf>
    <xf numFmtId="0" fontId="15" fillId="20" borderId="84" xfId="44" applyFont="1" applyFill="1" applyBorder="1" applyAlignment="1">
      <alignment horizontal="center"/>
    </xf>
    <xf numFmtId="0" fontId="49" fillId="20" borderId="84" xfId="44" applyFont="1" applyFill="1" applyBorder="1" applyAlignment="1">
      <alignment horizontal="center"/>
    </xf>
    <xf numFmtId="0" fontId="15" fillId="20" borderId="85" xfId="44" applyFont="1" applyFill="1" applyBorder="1" applyAlignment="1">
      <alignment horizontal="center"/>
    </xf>
    <xf numFmtId="0" fontId="15" fillId="20" borderId="86" xfId="44" applyFont="1" applyFill="1" applyBorder="1" applyAlignment="1">
      <alignment horizontal="center"/>
    </xf>
    <xf numFmtId="0" fontId="15" fillId="0" borderId="86" xfId="44" applyFont="1" applyFill="1" applyBorder="1" applyProtection="1">
      <protection locked="0"/>
    </xf>
    <xf numFmtId="0" fontId="15" fillId="20" borderId="87" xfId="44" applyFont="1" applyFill="1" applyBorder="1" applyAlignment="1">
      <alignment horizontal="center"/>
    </xf>
    <xf numFmtId="0" fontId="55" fillId="0" borderId="35" xfId="44" applyFont="1" applyBorder="1" applyAlignment="1">
      <alignment horizontal="centerContinuous"/>
    </xf>
    <xf numFmtId="0" fontId="49" fillId="0" borderId="35" xfId="44" applyNumberFormat="1" applyFont="1" applyBorder="1" applyAlignment="1">
      <alignment horizontal="centerContinuous" vertical="top"/>
    </xf>
    <xf numFmtId="175" fontId="49" fillId="0" borderId="55" xfId="44" applyNumberFormat="1" applyFont="1" applyBorder="1" applyAlignment="1">
      <alignment horizontal="centerContinuous" vertical="top"/>
    </xf>
    <xf numFmtId="0" fontId="49" fillId="20" borderId="87" xfId="44" applyFont="1" applyFill="1" applyBorder="1" applyAlignment="1">
      <alignment horizontal="center"/>
    </xf>
    <xf numFmtId="0" fontId="15" fillId="20" borderId="90" xfId="44" applyFont="1" applyFill="1" applyBorder="1" applyAlignment="1">
      <alignment horizontal="center"/>
    </xf>
    <xf numFmtId="0" fontId="49" fillId="20" borderId="90" xfId="44" applyFont="1" applyFill="1" applyBorder="1" applyAlignment="1">
      <alignment horizontal="center"/>
    </xf>
    <xf numFmtId="175" fontId="49" fillId="0" borderId="25" xfId="44" applyNumberFormat="1" applyFont="1" applyBorder="1" applyAlignment="1">
      <alignment horizontal="centerContinuous" vertical="top"/>
    </xf>
    <xf numFmtId="1" fontId="49" fillId="20" borderId="90" xfId="44" applyNumberFormat="1" applyFont="1" applyFill="1" applyBorder="1" applyAlignment="1">
      <alignment horizontal="center"/>
    </xf>
    <xf numFmtId="0" fontId="49" fillId="20" borderId="89" xfId="44" applyFont="1" applyFill="1" applyBorder="1" applyAlignment="1">
      <alignment horizontal="center"/>
    </xf>
    <xf numFmtId="0" fontId="57" fillId="0" borderId="35" xfId="44" applyNumberFormat="1" applyFont="1" applyBorder="1" applyAlignment="1">
      <alignment horizontal="centerContinuous" vertical="top"/>
    </xf>
    <xf numFmtId="1" fontId="44" fillId="0" borderId="54" xfId="44" applyNumberFormat="1" applyFont="1" applyBorder="1" applyAlignment="1">
      <alignment horizontal="centerContinuous"/>
    </xf>
    <xf numFmtId="175" fontId="57" fillId="0" borderId="55" xfId="44" applyNumberFormat="1" applyFont="1" applyBorder="1" applyAlignment="1">
      <alignment horizontal="centerContinuous" vertical="top"/>
    </xf>
    <xf numFmtId="0" fontId="57" fillId="20" borderId="84" xfId="44" applyFont="1" applyFill="1" applyBorder="1" applyAlignment="1">
      <alignment horizontal="center"/>
    </xf>
    <xf numFmtId="0" fontId="57" fillId="20" borderId="87" xfId="44" applyFont="1" applyFill="1" applyBorder="1" applyAlignment="1">
      <alignment horizontal="center"/>
    </xf>
    <xf numFmtId="175" fontId="38" fillId="0" borderId="25" xfId="44" applyNumberFormat="1" applyFont="1" applyBorder="1" applyAlignment="1">
      <alignment horizontal="centerContinuous" vertical="top"/>
    </xf>
    <xf numFmtId="0" fontId="49" fillId="0" borderId="36" xfId="44" applyNumberFormat="1" applyFont="1" applyBorder="1" applyAlignment="1">
      <alignment horizontal="centerContinuous" vertical="top"/>
    </xf>
    <xf numFmtId="0" fontId="13" fillId="23" borderId="52" xfId="47" applyFont="1" applyFill="1" applyBorder="1"/>
    <xf numFmtId="0" fontId="13" fillId="23" borderId="22" xfId="47" applyFont="1" applyFill="1" applyBorder="1"/>
    <xf numFmtId="0" fontId="13" fillId="23" borderId="22" xfId="47" applyFont="1" applyFill="1" applyBorder="1" applyAlignment="1">
      <alignment horizontal="right"/>
    </xf>
    <xf numFmtId="0" fontId="13" fillId="23" borderId="53" xfId="47" applyFont="1" applyFill="1" applyBorder="1" applyAlignment="1">
      <alignment horizontal="right"/>
    </xf>
    <xf numFmtId="0" fontId="13" fillId="14" borderId="52" xfId="47" applyFont="1" applyFill="1" applyBorder="1"/>
    <xf numFmtId="0" fontId="13" fillId="14" borderId="22" xfId="47" applyFont="1" applyFill="1" applyBorder="1"/>
    <xf numFmtId="0" fontId="49" fillId="14" borderId="22" xfId="47" applyFont="1" applyFill="1" applyBorder="1"/>
    <xf numFmtId="0" fontId="13" fillId="14" borderId="22" xfId="47" applyFont="1" applyFill="1" applyBorder="1" applyAlignment="1">
      <alignment horizontal="right"/>
    </xf>
    <xf numFmtId="0" fontId="13" fillId="14" borderId="53" xfId="47" applyFont="1" applyFill="1" applyBorder="1" applyAlignment="1">
      <alignment horizontal="right"/>
    </xf>
    <xf numFmtId="0" fontId="13" fillId="17" borderId="52" xfId="47" applyFont="1" applyFill="1" applyBorder="1"/>
    <xf numFmtId="0" fontId="13" fillId="17" borderId="22" xfId="47" applyFont="1" applyFill="1" applyBorder="1"/>
    <xf numFmtId="0" fontId="13" fillId="17" borderId="53" xfId="47" applyFont="1" applyFill="1" applyBorder="1" applyAlignment="1">
      <alignment horizontal="right"/>
    </xf>
    <xf numFmtId="0" fontId="13" fillId="16" borderId="52" xfId="47" applyFont="1" applyFill="1" applyBorder="1"/>
    <xf numFmtId="0" fontId="13" fillId="16" borderId="22" xfId="47" applyFont="1" applyFill="1" applyBorder="1"/>
    <xf numFmtId="0" fontId="49" fillId="16" borderId="22" xfId="47" applyFont="1" applyFill="1" applyBorder="1"/>
    <xf numFmtId="0" fontId="13" fillId="16" borderId="22" xfId="47" applyFont="1" applyFill="1" applyBorder="1" applyAlignment="1">
      <alignment horizontal="right"/>
    </xf>
    <xf numFmtId="0" fontId="13" fillId="16" borderId="53" xfId="47" applyFont="1" applyFill="1" applyBorder="1" applyAlignment="1"/>
    <xf numFmtId="0" fontId="13" fillId="26" borderId="52" xfId="47" applyFont="1" applyFill="1" applyBorder="1"/>
    <xf numFmtId="0" fontId="13" fillId="26" borderId="22" xfId="47" applyFont="1" applyFill="1" applyBorder="1"/>
    <xf numFmtId="0" fontId="13" fillId="26" borderId="22" xfId="47" applyFont="1" applyFill="1" applyBorder="1" applyAlignment="1">
      <alignment horizontal="right"/>
    </xf>
    <xf numFmtId="0" fontId="13" fillId="26" borderId="53" xfId="47" applyFont="1" applyFill="1" applyBorder="1" applyAlignment="1">
      <alignment horizontal="right"/>
    </xf>
    <xf numFmtId="0" fontId="13" fillId="15" borderId="52" xfId="47" applyFont="1" applyFill="1" applyBorder="1"/>
    <xf numFmtId="0" fontId="13" fillId="15" borderId="22" xfId="47" applyFont="1" applyFill="1" applyBorder="1"/>
    <xf numFmtId="0" fontId="13" fillId="15" borderId="22" xfId="44" applyFont="1" applyFill="1" applyBorder="1"/>
    <xf numFmtId="0" fontId="13" fillId="15" borderId="22" xfId="47" applyFont="1" applyFill="1" applyBorder="1" applyAlignment="1">
      <alignment horizontal="right"/>
    </xf>
    <xf numFmtId="0" fontId="13" fillId="15" borderId="53" xfId="47" applyFont="1" applyFill="1" applyBorder="1" applyAlignment="1">
      <alignment horizontal="right"/>
    </xf>
    <xf numFmtId="0" fontId="13" fillId="28" borderId="52" xfId="47" applyFont="1" applyFill="1" applyBorder="1"/>
    <xf numFmtId="0" fontId="13" fillId="28" borderId="22" xfId="47" applyFont="1" applyFill="1" applyBorder="1"/>
    <xf numFmtId="0" fontId="57" fillId="28" borderId="22" xfId="47" applyFont="1" applyFill="1" applyBorder="1"/>
    <xf numFmtId="0" fontId="62" fillId="28" borderId="22" xfId="47" applyFont="1" applyFill="1" applyBorder="1" applyAlignment="1">
      <alignment horizontal="right"/>
    </xf>
    <xf numFmtId="0" fontId="13" fillId="28" borderId="53" xfId="47" applyFont="1" applyFill="1" applyBorder="1" applyAlignment="1">
      <alignment horizontal="right"/>
    </xf>
    <xf numFmtId="0" fontId="13" fillId="18" borderId="52" xfId="47" applyFont="1" applyFill="1" applyBorder="1"/>
    <xf numFmtId="0" fontId="13" fillId="18" borderId="22" xfId="47" applyFont="1" applyFill="1" applyBorder="1"/>
    <xf numFmtId="0" fontId="57" fillId="18" borderId="22" xfId="47" applyFont="1" applyFill="1" applyBorder="1"/>
    <xf numFmtId="0" fontId="62" fillId="18" borderId="22" xfId="47" applyFont="1" applyFill="1" applyBorder="1" applyAlignment="1">
      <alignment horizontal="right"/>
    </xf>
    <xf numFmtId="0" fontId="13" fillId="18" borderId="53" xfId="47" applyFont="1" applyFill="1" applyBorder="1" applyAlignment="1">
      <alignment horizontal="right"/>
    </xf>
    <xf numFmtId="0" fontId="13" fillId="24" borderId="52" xfId="47" applyFont="1" applyFill="1" applyBorder="1"/>
    <xf numFmtId="0" fontId="13" fillId="24" borderId="22" xfId="47" applyFont="1" applyFill="1" applyBorder="1"/>
    <xf numFmtId="0" fontId="57" fillId="24" borderId="22" xfId="44" applyFont="1" applyFill="1" applyBorder="1"/>
    <xf numFmtId="0" fontId="13" fillId="24" borderId="22" xfId="47" applyFont="1" applyFill="1" applyBorder="1" applyAlignment="1">
      <alignment horizontal="right"/>
    </xf>
    <xf numFmtId="0" fontId="13" fillId="24" borderId="53" xfId="47" applyFont="1" applyFill="1" applyBorder="1" applyAlignment="1">
      <alignment horizontal="right"/>
    </xf>
    <xf numFmtId="0" fontId="13" fillId="27" borderId="52" xfId="47" applyFont="1" applyFill="1" applyBorder="1"/>
    <xf numFmtId="0" fontId="13" fillId="27" borderId="22" xfId="47" applyFont="1" applyFill="1" applyBorder="1"/>
    <xf numFmtId="0" fontId="49" fillId="27" borderId="22" xfId="47" applyFont="1" applyFill="1" applyBorder="1"/>
    <xf numFmtId="0" fontId="13" fillId="27" borderId="22" xfId="47" applyFont="1" applyFill="1" applyBorder="1" applyAlignment="1">
      <alignment horizontal="right"/>
    </xf>
    <xf numFmtId="0" fontId="13" fillId="27" borderId="53" xfId="47" applyFont="1" applyFill="1" applyBorder="1" applyAlignment="1">
      <alignment horizontal="right"/>
    </xf>
    <xf numFmtId="0" fontId="49" fillId="26" borderId="22" xfId="44" applyFont="1" applyFill="1" applyBorder="1"/>
    <xf numFmtId="0" fontId="13" fillId="30" borderId="52" xfId="47" applyFont="1" applyFill="1" applyBorder="1"/>
    <xf numFmtId="0" fontId="13" fillId="30" borderId="22" xfId="47" applyFont="1" applyFill="1" applyBorder="1"/>
    <xf numFmtId="0" fontId="13" fillId="30" borderId="22" xfId="47" applyFont="1" applyFill="1" applyBorder="1" applyAlignment="1">
      <alignment horizontal="right"/>
    </xf>
    <xf numFmtId="0" fontId="13" fillId="30" borderId="53" xfId="47" applyFont="1" applyFill="1" applyBorder="1" applyAlignment="1">
      <alignment horizontal="right"/>
    </xf>
    <xf numFmtId="0" fontId="13" fillId="11" borderId="22" xfId="47" applyFont="1" applyFill="1" applyBorder="1" applyAlignment="1">
      <alignment horizontal="right"/>
    </xf>
    <xf numFmtId="0" fontId="13" fillId="25" borderId="52" xfId="47" applyFont="1" applyFill="1" applyBorder="1"/>
    <xf numFmtId="0" fontId="13" fillId="25" borderId="22" xfId="47" applyFont="1" applyFill="1" applyBorder="1"/>
    <xf numFmtId="0" fontId="13" fillId="25" borderId="22" xfId="44" applyFont="1" applyFill="1" applyBorder="1"/>
    <xf numFmtId="0" fontId="13" fillId="25" borderId="22" xfId="47" applyFont="1" applyFill="1" applyBorder="1" applyAlignment="1">
      <alignment horizontal="right"/>
    </xf>
    <xf numFmtId="0" fontId="13" fillId="25" borderId="53" xfId="47" applyFont="1" applyFill="1" applyBorder="1" applyAlignment="1">
      <alignment horizontal="right"/>
    </xf>
    <xf numFmtId="0" fontId="49" fillId="23" borderId="22" xfId="47" applyFont="1" applyFill="1" applyBorder="1"/>
    <xf numFmtId="0" fontId="72" fillId="21" borderId="22" xfId="44" applyFont="1" applyFill="1" applyBorder="1"/>
    <xf numFmtId="0" fontId="15" fillId="0" borderId="39" xfId="44" applyBorder="1" applyProtection="1"/>
    <xf numFmtId="0" fontId="13" fillId="0" borderId="54" xfId="47" applyFont="1" applyBorder="1"/>
    <xf numFmtId="0" fontId="13" fillId="0" borderId="55" xfId="47" applyFont="1" applyBorder="1" applyAlignment="1">
      <alignment horizontal="right"/>
    </xf>
    <xf numFmtId="0" fontId="51" fillId="0" borderId="22" xfId="47" applyBorder="1"/>
    <xf numFmtId="0" fontId="57" fillId="17" borderId="22" xfId="44" applyFont="1" applyFill="1" applyBorder="1"/>
    <xf numFmtId="0" fontId="13" fillId="17" borderId="22" xfId="47" applyFont="1" applyFill="1" applyBorder="1" applyAlignment="1">
      <alignment horizontal="right"/>
    </xf>
    <xf numFmtId="0" fontId="15" fillId="0" borderId="62" xfId="44" applyFill="1" applyBorder="1" applyAlignment="1" applyProtection="1">
      <alignment horizontal="center"/>
    </xf>
    <xf numFmtId="0" fontId="15" fillId="0" borderId="67" xfId="44" applyFill="1" applyBorder="1" applyAlignment="1" applyProtection="1">
      <alignment horizontal="center"/>
    </xf>
    <xf numFmtId="0" fontId="67" fillId="0" borderId="40" xfId="48" applyFont="1" applyBorder="1" applyAlignment="1">
      <alignment horizontal="centerContinuous"/>
    </xf>
    <xf numFmtId="0" fontId="68" fillId="0" borderId="35" xfId="48" applyFont="1" applyBorder="1" applyAlignment="1">
      <alignment horizontal="centerContinuous"/>
    </xf>
    <xf numFmtId="175" fontId="39" fillId="0" borderId="35" xfId="48" applyNumberFormat="1" applyFont="1" applyBorder="1" applyAlignment="1">
      <alignment horizontal="centerContinuous"/>
    </xf>
    <xf numFmtId="175" fontId="63" fillId="0" borderId="35" xfId="48" applyNumberFormat="1" applyFont="1" applyBorder="1" applyAlignment="1">
      <alignment horizontal="centerContinuous" vertical="top"/>
    </xf>
    <xf numFmtId="0" fontId="15" fillId="0" borderId="61" xfId="44" applyFill="1" applyBorder="1" applyAlignment="1" applyProtection="1">
      <alignment horizontal="center"/>
    </xf>
    <xf numFmtId="0" fontId="15" fillId="0" borderId="0" xfId="44" applyFill="1" applyBorder="1" applyAlignment="1" applyProtection="1">
      <alignment horizontal="center"/>
    </xf>
    <xf numFmtId="0" fontId="15" fillId="0" borderId="24" xfId="44" applyFill="1" applyBorder="1" applyAlignment="1" applyProtection="1">
      <alignment horizontal="center"/>
    </xf>
    <xf numFmtId="1" fontId="15" fillId="20" borderId="24" xfId="44" applyNumberFormat="1" applyFill="1" applyBorder="1" applyProtection="1">
      <protection locked="0"/>
    </xf>
    <xf numFmtId="0" fontId="15" fillId="0" borderId="68" xfId="44" applyFill="1" applyBorder="1" applyAlignment="1" applyProtection="1">
      <alignment horizontal="center"/>
    </xf>
    <xf numFmtId="0" fontId="52" fillId="0" borderId="25" xfId="44" applyNumberFormat="1" applyFont="1" applyFill="1" applyBorder="1" applyAlignment="1" applyProtection="1">
      <alignment wrapText="1"/>
    </xf>
    <xf numFmtId="1" fontId="15" fillId="20" borderId="76" xfId="44" applyNumberFormat="1" applyFill="1" applyBorder="1" applyProtection="1">
      <protection locked="0"/>
    </xf>
    <xf numFmtId="1" fontId="15" fillId="0" borderId="25" xfId="44" applyNumberFormat="1" applyFill="1" applyBorder="1" applyProtection="1">
      <protection locked="0"/>
    </xf>
    <xf numFmtId="175" fontId="63" fillId="0" borderId="36" xfId="48" applyNumberFormat="1" applyFont="1" applyBorder="1" applyAlignment="1">
      <alignment horizontal="centerContinuous" vertical="top"/>
    </xf>
    <xf numFmtId="0" fontId="47" fillId="21" borderId="53" xfId="47" applyFont="1" applyFill="1" applyBorder="1" applyAlignment="1">
      <alignment horizontal="right"/>
    </xf>
    <xf numFmtId="0" fontId="15" fillId="0" borderId="53" xfId="47" applyFont="1" applyBorder="1" applyAlignment="1">
      <alignment horizontal="right"/>
    </xf>
    <xf numFmtId="0" fontId="15" fillId="0" borderId="25" xfId="44" applyFont="1" applyFill="1" applyBorder="1" applyAlignment="1" applyProtection="1">
      <alignment wrapText="1"/>
      <protection locked="0"/>
    </xf>
    <xf numFmtId="1" fontId="57" fillId="22" borderId="23" xfId="44" applyNumberFormat="1" applyFont="1" applyFill="1" applyBorder="1" applyAlignment="1" applyProtection="1">
      <alignment vertical="top"/>
      <protection locked="0"/>
    </xf>
    <xf numFmtId="0" fontId="73" fillId="21" borderId="53" xfId="47" applyFont="1" applyFill="1" applyBorder="1" applyAlignment="1">
      <alignment horizontal="right"/>
    </xf>
    <xf numFmtId="0" fontId="15" fillId="11" borderId="53" xfId="47" applyFont="1" applyFill="1" applyBorder="1" applyAlignment="1">
      <alignment horizontal="right"/>
    </xf>
    <xf numFmtId="0" fontId="72" fillId="21" borderId="53" xfId="47" applyFont="1" applyFill="1" applyBorder="1" applyAlignment="1">
      <alignment horizontal="right"/>
    </xf>
    <xf numFmtId="0" fontId="49" fillId="0" borderId="53" xfId="47" applyFont="1" applyBorder="1" applyAlignment="1">
      <alignment horizontal="right"/>
    </xf>
    <xf numFmtId="0" fontId="49" fillId="15" borderId="53" xfId="47" applyFont="1" applyFill="1" applyBorder="1" applyAlignment="1">
      <alignment horizontal="right"/>
    </xf>
    <xf numFmtId="0" fontId="15" fillId="0" borderId="55" xfId="47" applyFont="1" applyBorder="1" applyAlignment="1">
      <alignment horizontal="right"/>
    </xf>
    <xf numFmtId="0" fontId="6" fillId="6" borderId="60" xfId="0" applyFont="1" applyFill="1" applyBorder="1" applyAlignment="1" applyProtection="1">
      <alignment horizontal="center"/>
    </xf>
    <xf numFmtId="0" fontId="6" fillId="6" borderId="49" xfId="0" applyFont="1" applyFill="1" applyBorder="1" applyAlignment="1" applyProtection="1">
      <alignment horizontal="center"/>
    </xf>
    <xf numFmtId="0" fontId="0" fillId="6" borderId="78" xfId="0" applyFill="1" applyBorder="1" applyAlignment="1" applyProtection="1">
      <alignment horizontal="center"/>
    </xf>
    <xf numFmtId="0" fontId="0" fillId="6" borderId="3" xfId="0" applyFill="1" applyBorder="1" applyProtection="1"/>
    <xf numFmtId="0" fontId="0" fillId="4" borderId="5" xfId="0" applyNumberFormat="1" applyFill="1" applyBorder="1" applyAlignment="1" applyProtection="1">
      <alignment horizontal="center"/>
      <protection locked="0"/>
    </xf>
    <xf numFmtId="0" fontId="6" fillId="22" borderId="0" xfId="0" applyFont="1" applyFill="1"/>
    <xf numFmtId="0" fontId="75" fillId="16" borderId="59" xfId="0" applyFont="1" applyFill="1" applyBorder="1"/>
    <xf numFmtId="0" fontId="75" fillId="16" borderId="5" xfId="0" applyFont="1" applyFill="1" applyBorder="1"/>
    <xf numFmtId="0" fontId="74" fillId="16" borderId="6" xfId="0" applyFont="1" applyFill="1" applyBorder="1"/>
    <xf numFmtId="0" fontId="18" fillId="8" borderId="80" xfId="0" applyNumberFormat="1" applyFont="1" applyFill="1" applyBorder="1" applyAlignment="1" applyProtection="1">
      <alignment horizontal="center"/>
      <protection locked="0"/>
    </xf>
    <xf numFmtId="0" fontId="18" fillId="8" borderId="81" xfId="0" applyNumberFormat="1" applyFont="1" applyFill="1" applyBorder="1" applyAlignment="1" applyProtection="1">
      <alignment horizontal="center"/>
      <protection locked="0"/>
    </xf>
    <xf numFmtId="0" fontId="18" fillId="8" borderId="82" xfId="0" applyNumberFormat="1" applyFont="1" applyFill="1" applyBorder="1" applyAlignment="1" applyProtection="1">
      <alignment horizontal="center"/>
      <protection locked="0"/>
    </xf>
    <xf numFmtId="0" fontId="78" fillId="20" borderId="22" xfId="44" applyFont="1" applyFill="1" applyBorder="1" applyProtection="1">
      <protection locked="0"/>
    </xf>
    <xf numFmtId="0" fontId="80" fillId="22" borderId="0" xfId="0" applyFont="1" applyFill="1" applyBorder="1" applyAlignment="1">
      <alignment horizontal="center" vertical="center"/>
    </xf>
    <xf numFmtId="0" fontId="0" fillId="22" borderId="0" xfId="0" applyFill="1" applyBorder="1" applyAlignment="1"/>
    <xf numFmtId="2" fontId="0" fillId="22" borderId="0" xfId="0" applyNumberFormat="1" applyFill="1" applyBorder="1" applyAlignment="1"/>
    <xf numFmtId="2" fontId="0" fillId="22" borderId="0" xfId="0" applyNumberFormat="1" applyFill="1" applyBorder="1" applyAlignment="1">
      <alignment horizontal="center"/>
    </xf>
    <xf numFmtId="0" fontId="32" fillId="0" borderId="0" xfId="0" applyFont="1"/>
    <xf numFmtId="0" fontId="82" fillId="0" borderId="0" xfId="0" applyFont="1"/>
    <xf numFmtId="0" fontId="84" fillId="8" borderId="3" xfId="0" applyFont="1" applyFill="1" applyBorder="1" applyAlignment="1" applyProtection="1">
      <alignment horizontal="center" wrapText="1"/>
      <protection locked="0"/>
    </xf>
    <xf numFmtId="0" fontId="84" fillId="8" borderId="41" xfId="0" applyFont="1" applyFill="1" applyBorder="1" applyAlignment="1" applyProtection="1">
      <alignment horizontal="center" wrapText="1"/>
      <protection locked="0"/>
    </xf>
    <xf numFmtId="0" fontId="84" fillId="12" borderId="3" xfId="0" applyFont="1" applyFill="1" applyBorder="1" applyAlignment="1">
      <alignment horizontal="center" wrapText="1"/>
    </xf>
    <xf numFmtId="0" fontId="84" fillId="12" borderId="41" xfId="0" applyFont="1" applyFill="1" applyBorder="1" applyAlignment="1">
      <alignment horizontal="center" wrapText="1"/>
    </xf>
    <xf numFmtId="0" fontId="23" fillId="4" borderId="61" xfId="0" applyFont="1" applyFill="1" applyBorder="1" applyAlignment="1" applyProtection="1">
      <alignment horizontal="center"/>
      <protection locked="0"/>
    </xf>
    <xf numFmtId="166" fontId="88" fillId="0" borderId="12" xfId="0" applyNumberFormat="1" applyFont="1" applyFill="1" applyBorder="1" applyAlignment="1" applyProtection="1">
      <alignment horizontal="center"/>
    </xf>
    <xf numFmtId="166" fontId="89" fillId="0" borderId="13" xfId="0" applyNumberFormat="1" applyFont="1" applyFill="1" applyBorder="1" applyAlignment="1" applyProtection="1">
      <alignment horizontal="center"/>
    </xf>
    <xf numFmtId="166" fontId="18" fillId="0" borderId="77" xfId="0" applyNumberFormat="1" applyFont="1" applyFill="1" applyBorder="1" applyAlignment="1" applyProtection="1">
      <alignment horizontal="center"/>
    </xf>
    <xf numFmtId="0" fontId="89" fillId="11" borderId="49" xfId="0" applyFont="1" applyFill="1" applyBorder="1" applyAlignment="1" applyProtection="1">
      <alignment horizontal="center"/>
    </xf>
    <xf numFmtId="0" fontId="23" fillId="4" borderId="7" xfId="0" applyFont="1" applyFill="1" applyBorder="1" applyAlignment="1" applyProtection="1">
      <alignment horizontal="center"/>
      <protection locked="0"/>
    </xf>
    <xf numFmtId="0" fontId="23" fillId="5" borderId="7" xfId="0" applyFont="1" applyFill="1" applyBorder="1" applyAlignment="1" applyProtection="1">
      <alignment horizontal="center"/>
      <protection locked="0"/>
    </xf>
    <xf numFmtId="0" fontId="18" fillId="12" borderId="3" xfId="0" applyFont="1" applyFill="1" applyBorder="1" applyProtection="1"/>
    <xf numFmtId="0" fontId="0" fillId="12" borderId="0" xfId="0" applyFill="1" applyProtection="1"/>
    <xf numFmtId="0" fontId="18" fillId="12" borderId="81" xfId="0" applyFont="1" applyFill="1" applyBorder="1" applyProtection="1"/>
    <xf numFmtId="0" fontId="18" fillId="12" borderId="29" xfId="0" applyFont="1" applyFill="1" applyBorder="1" applyProtection="1">
      <protection locked="0"/>
    </xf>
    <xf numFmtId="0" fontId="18" fillId="12" borderId="45" xfId="0" applyFont="1" applyFill="1" applyBorder="1" applyProtection="1">
      <protection locked="0"/>
    </xf>
    <xf numFmtId="0" fontId="0" fillId="12" borderId="0" xfId="0" applyFill="1" applyBorder="1" applyProtection="1"/>
    <xf numFmtId="0" fontId="0" fillId="12" borderId="14" xfId="0" applyFill="1" applyBorder="1" applyProtection="1"/>
    <xf numFmtId="0" fontId="18" fillId="12" borderId="99" xfId="0" applyFont="1" applyFill="1" applyBorder="1" applyProtection="1"/>
    <xf numFmtId="0" fontId="18" fillId="12" borderId="100" xfId="0" applyFont="1" applyFill="1" applyBorder="1" applyProtection="1"/>
    <xf numFmtId="0" fontId="18" fillId="12" borderId="53" xfId="0" applyFont="1" applyFill="1" applyBorder="1" applyAlignment="1" applyProtection="1">
      <alignment horizontal="left"/>
      <protection locked="0"/>
    </xf>
    <xf numFmtId="0" fontId="18" fillId="12" borderId="98" xfId="0" applyFont="1" applyFill="1" applyBorder="1" applyAlignment="1" applyProtection="1">
      <alignment horizontal="left"/>
      <protection locked="0"/>
    </xf>
    <xf numFmtId="0" fontId="0" fillId="22" borderId="0" xfId="0" applyFill="1" applyBorder="1" applyAlignment="1" applyProtection="1">
      <alignment wrapText="1"/>
    </xf>
    <xf numFmtId="0" fontId="92" fillId="12" borderId="3" xfId="0" applyFont="1" applyFill="1" applyBorder="1" applyProtection="1"/>
    <xf numFmtId="0" fontId="92" fillId="12" borderId="81" xfId="0" applyFont="1" applyFill="1" applyBorder="1" applyProtection="1"/>
    <xf numFmtId="166" fontId="93" fillId="0" borderId="46" xfId="0" applyNumberFormat="1" applyFont="1" applyFill="1" applyBorder="1" applyAlignment="1" applyProtection="1">
      <alignment horizontal="center"/>
    </xf>
    <xf numFmtId="0" fontId="93" fillId="12" borderId="3" xfId="0" applyFont="1" applyFill="1" applyBorder="1" applyProtection="1"/>
    <xf numFmtId="0" fontId="93" fillId="12" borderId="81" xfId="0" applyFont="1" applyFill="1" applyBorder="1" applyProtection="1"/>
    <xf numFmtId="0" fontId="94" fillId="12" borderId="3" xfId="0" applyFont="1" applyFill="1" applyBorder="1" applyProtection="1"/>
    <xf numFmtId="0" fontId="94" fillId="12" borderId="81" xfId="0" applyFont="1" applyFill="1" applyBorder="1" applyProtection="1"/>
    <xf numFmtId="166" fontId="95" fillId="0" borderId="13" xfId="0" applyNumberFormat="1" applyFont="1" applyFill="1" applyBorder="1" applyAlignment="1" applyProtection="1">
      <alignment horizontal="center"/>
    </xf>
    <xf numFmtId="0" fontId="95" fillId="12" borderId="3" xfId="0" applyFont="1" applyFill="1" applyBorder="1" applyProtection="1"/>
    <xf numFmtId="0" fontId="95" fillId="12" borderId="81" xfId="0" applyFont="1" applyFill="1" applyBorder="1" applyProtection="1"/>
    <xf numFmtId="0" fontId="95" fillId="12" borderId="41" xfId="0" applyFont="1" applyFill="1" applyBorder="1" applyProtection="1"/>
    <xf numFmtId="0" fontId="95" fillId="12" borderId="82" xfId="0" applyFont="1" applyFill="1" applyBorder="1" applyProtection="1"/>
    <xf numFmtId="0" fontId="0" fillId="22" borderId="0" xfId="0" applyFill="1" applyBorder="1" applyAlignment="1">
      <alignment vertical="center" wrapText="1"/>
    </xf>
    <xf numFmtId="0" fontId="0" fillId="22" borderId="23" xfId="0" applyFill="1" applyBorder="1" applyAlignment="1">
      <alignment vertical="center" wrapText="1"/>
    </xf>
    <xf numFmtId="0" fontId="0" fillId="22" borderId="0" xfId="0" applyFill="1" applyBorder="1"/>
    <xf numFmtId="4" fontId="75" fillId="11" borderId="51" xfId="16" applyNumberFormat="1" applyFont="1" applyFill="1" applyBorder="1" applyAlignment="1">
      <alignment vertical="center"/>
    </xf>
    <xf numFmtId="0" fontId="91" fillId="4" borderId="29" xfId="0" applyFont="1" applyFill="1" applyBorder="1" applyAlignment="1" applyProtection="1">
      <alignment horizontal="center"/>
      <protection locked="0"/>
    </xf>
    <xf numFmtId="0" fontId="91" fillId="4" borderId="37" xfId="0" applyFont="1" applyFill="1" applyBorder="1" applyAlignment="1" applyProtection="1">
      <alignment horizontal="right"/>
      <protection locked="0"/>
    </xf>
    <xf numFmtId="0" fontId="91" fillId="5" borderId="29" xfId="0" applyFont="1" applyFill="1" applyBorder="1" applyAlignment="1" applyProtection="1">
      <alignment horizontal="center"/>
      <protection locked="0"/>
    </xf>
    <xf numFmtId="0" fontId="91" fillId="5" borderId="37" xfId="0" applyFont="1" applyFill="1" applyBorder="1" applyAlignment="1" applyProtection="1">
      <alignment horizontal="right"/>
      <protection locked="0"/>
    </xf>
    <xf numFmtId="0" fontId="91" fillId="10" borderId="29" xfId="0" applyFont="1" applyFill="1" applyBorder="1" applyAlignment="1" applyProtection="1">
      <alignment horizontal="center"/>
      <protection locked="0"/>
    </xf>
    <xf numFmtId="0" fontId="91" fillId="9" borderId="29" xfId="0" applyFont="1" applyFill="1" applyBorder="1" applyAlignment="1" applyProtection="1">
      <alignment horizontal="center"/>
      <protection locked="0"/>
    </xf>
    <xf numFmtId="0" fontId="91" fillId="9" borderId="37" xfId="0" applyFont="1" applyFill="1" applyBorder="1" applyAlignment="1" applyProtection="1">
      <alignment horizontal="right"/>
      <protection locked="0"/>
    </xf>
    <xf numFmtId="0" fontId="91" fillId="10" borderId="45" xfId="0" applyFont="1" applyFill="1" applyBorder="1" applyAlignment="1" applyProtection="1">
      <alignment horizontal="center"/>
      <protection locked="0"/>
    </xf>
    <xf numFmtId="0" fontId="91" fillId="10" borderId="38" xfId="0" applyFont="1" applyFill="1" applyBorder="1" applyAlignment="1" applyProtection="1">
      <alignment horizontal="right"/>
      <protection locked="0"/>
    </xf>
    <xf numFmtId="0" fontId="91" fillId="6" borderId="64" xfId="16" applyFont="1" applyFill="1" applyBorder="1" applyAlignment="1">
      <alignment horizontal="center" vertical="center"/>
    </xf>
    <xf numFmtId="0" fontId="91" fillId="6" borderId="44" xfId="16" applyFont="1" applyFill="1" applyBorder="1" applyAlignment="1">
      <alignment horizontal="center" vertical="center"/>
    </xf>
    <xf numFmtId="0" fontId="91" fillId="6" borderId="97" xfId="16" applyFont="1" applyFill="1" applyBorder="1" applyAlignment="1">
      <alignment horizontal="center" vertical="center"/>
    </xf>
    <xf numFmtId="4" fontId="97" fillId="6" borderId="103" xfId="15" applyNumberFormat="1" applyFont="1" applyFill="1" applyBorder="1" applyAlignment="1">
      <alignment vertical="center"/>
    </xf>
    <xf numFmtId="4" fontId="97" fillId="6" borderId="104" xfId="16" applyNumberFormat="1" applyFont="1" applyFill="1" applyBorder="1" applyAlignment="1">
      <alignment vertical="center"/>
    </xf>
    <xf numFmtId="4" fontId="97" fillId="6" borderId="106" xfId="16" applyNumberFormat="1" applyFont="1" applyFill="1" applyBorder="1" applyAlignment="1">
      <alignment vertical="center"/>
    </xf>
    <xf numFmtId="0" fontId="77" fillId="0" borderId="62" xfId="44" applyFont="1" applyBorder="1" applyProtection="1"/>
    <xf numFmtId="0" fontId="77" fillId="0" borderId="67" xfId="44" applyFont="1" applyBorder="1" applyProtection="1"/>
    <xf numFmtId="0" fontId="77" fillId="0" borderId="72" xfId="44" applyFont="1" applyBorder="1" applyProtection="1"/>
    <xf numFmtId="0" fontId="77" fillId="17" borderId="62" xfId="44" applyFont="1" applyFill="1" applyBorder="1" applyProtection="1"/>
    <xf numFmtId="0" fontId="77" fillId="17" borderId="67" xfId="44" applyFont="1" applyFill="1" applyBorder="1" applyProtection="1"/>
    <xf numFmtId="0" fontId="77" fillId="17" borderId="72" xfId="44" applyFont="1" applyFill="1" applyBorder="1" applyProtection="1"/>
    <xf numFmtId="0" fontId="15" fillId="0" borderId="23" xfId="44" applyBorder="1" applyProtection="1"/>
    <xf numFmtId="0" fontId="7" fillId="14" borderId="5" xfId="0" applyFont="1" applyFill="1" applyBorder="1" applyAlignment="1">
      <alignment wrapText="1"/>
    </xf>
    <xf numFmtId="0" fontId="15" fillId="20" borderId="4" xfId="44" applyFont="1" applyFill="1" applyBorder="1" applyAlignment="1">
      <alignment horizontal="left"/>
    </xf>
    <xf numFmtId="0" fontId="15" fillId="20" borderId="86" xfId="44" applyFont="1" applyFill="1" applyBorder="1" applyAlignment="1">
      <alignment horizontal="left"/>
    </xf>
    <xf numFmtId="0" fontId="85" fillId="0" borderId="52" xfId="47" applyFont="1" applyBorder="1"/>
    <xf numFmtId="0" fontId="85" fillId="15" borderId="52" xfId="47" applyFont="1" applyFill="1" applyBorder="1"/>
    <xf numFmtId="0" fontId="42" fillId="0" borderId="0" xfId="44" applyFont="1" applyFill="1" applyBorder="1" applyProtection="1">
      <protection locked="0"/>
    </xf>
    <xf numFmtId="1" fontId="15" fillId="0" borderId="55" xfId="44" applyNumberFormat="1" applyFill="1" applyBorder="1" applyProtection="1">
      <protection locked="0"/>
    </xf>
    <xf numFmtId="0" fontId="42" fillId="20" borderId="68" xfId="44" applyFont="1" applyFill="1" applyBorder="1" applyProtection="1">
      <protection locked="0"/>
    </xf>
    <xf numFmtId="0" fontId="15" fillId="0" borderId="68" xfId="44" applyFont="1" applyFill="1" applyBorder="1" applyAlignment="1" applyProtection="1">
      <alignment wrapText="1"/>
      <protection locked="0"/>
    </xf>
    <xf numFmtId="0" fontId="6" fillId="0" borderId="78" xfId="0" applyFont="1" applyFill="1" applyBorder="1"/>
    <xf numFmtId="0" fontId="0" fillId="15" borderId="5" xfId="0" applyFont="1" applyFill="1" applyBorder="1"/>
    <xf numFmtId="0" fontId="0" fillId="15" borderId="5" xfId="0" applyFill="1" applyBorder="1" applyAlignment="1">
      <alignment wrapText="1"/>
    </xf>
    <xf numFmtId="0" fontId="74" fillId="0" borderId="42" xfId="16" applyFont="1" applyFill="1" applyBorder="1" applyAlignment="1">
      <alignment horizontal="center" vertical="center"/>
    </xf>
    <xf numFmtId="4" fontId="74" fillId="0" borderId="9" xfId="16" applyNumberFormat="1" applyFont="1" applyFill="1" applyBorder="1" applyAlignment="1">
      <alignment vertical="center"/>
    </xf>
    <xf numFmtId="0" fontId="74" fillId="0" borderId="60" xfId="16" applyFont="1" applyFill="1" applyBorder="1" applyAlignment="1">
      <alignment horizontal="center" vertical="center"/>
    </xf>
    <xf numFmtId="4" fontId="74" fillId="0" borderId="58" xfId="16" applyNumberFormat="1" applyFont="1" applyFill="1" applyBorder="1" applyAlignment="1">
      <alignment vertical="center"/>
    </xf>
    <xf numFmtId="178" fontId="0" fillId="12" borderId="29" xfId="0" applyNumberFormat="1" applyFill="1" applyBorder="1" applyAlignment="1" applyProtection="1">
      <alignment horizontal="center"/>
      <protection locked="0"/>
    </xf>
    <xf numFmtId="178" fontId="0" fillId="8" borderId="29" xfId="0" applyNumberFormat="1" applyFill="1" applyBorder="1" applyAlignment="1" applyProtection="1">
      <alignment horizontal="center"/>
      <protection locked="0"/>
    </xf>
    <xf numFmtId="178" fontId="0" fillId="34" borderId="29" xfId="0" applyNumberFormat="1" applyFill="1" applyBorder="1" applyAlignment="1" applyProtection="1">
      <alignment horizontal="center"/>
      <protection locked="0"/>
    </xf>
    <xf numFmtId="0" fontId="0" fillId="35" borderId="29" xfId="0" applyNumberFormat="1" applyFill="1" applyBorder="1" applyAlignment="1" applyProtection="1">
      <alignment horizontal="center"/>
      <protection locked="0"/>
    </xf>
    <xf numFmtId="20" fontId="0" fillId="12" borderId="5" xfId="0" applyNumberFormat="1" applyFill="1" applyBorder="1" applyAlignment="1" applyProtection="1">
      <alignment horizontal="center"/>
      <protection locked="0"/>
    </xf>
    <xf numFmtId="0" fontId="0" fillId="33" borderId="29" xfId="0" applyNumberFormat="1" applyFill="1" applyBorder="1" applyAlignment="1" applyProtection="1">
      <alignment horizontal="center"/>
      <protection locked="0"/>
    </xf>
    <xf numFmtId="0" fontId="18" fillId="12" borderId="3" xfId="0" applyNumberFormat="1" applyFont="1" applyFill="1" applyBorder="1" applyProtection="1"/>
    <xf numFmtId="20" fontId="0" fillId="34" borderId="5" xfId="0" applyNumberFormat="1" applyFill="1" applyBorder="1" applyAlignment="1" applyProtection="1">
      <alignment horizontal="center"/>
      <protection locked="0"/>
    </xf>
    <xf numFmtId="0" fontId="0" fillId="5" borderId="110" xfId="0" applyFill="1" applyBorder="1" applyAlignment="1" applyProtection="1">
      <alignment horizontal="center"/>
      <protection locked="0"/>
    </xf>
    <xf numFmtId="0" fontId="92" fillId="12" borderId="99" xfId="0" applyFont="1" applyFill="1" applyBorder="1" applyProtection="1"/>
    <xf numFmtId="0" fontId="92" fillId="12" borderId="100" xfId="0" applyFont="1" applyFill="1" applyBorder="1" applyProtection="1"/>
    <xf numFmtId="0" fontId="93" fillId="12" borderId="99" xfId="0" applyFont="1" applyFill="1" applyBorder="1" applyProtection="1"/>
    <xf numFmtId="0" fontId="93" fillId="12" borderId="100" xfId="0" applyFont="1" applyFill="1" applyBorder="1" applyProtection="1"/>
    <xf numFmtId="0" fontId="94" fillId="12" borderId="99" xfId="0" applyFont="1" applyFill="1" applyBorder="1" applyProtection="1"/>
    <xf numFmtId="0" fontId="94" fillId="12" borderId="100" xfId="0" applyFont="1" applyFill="1" applyBorder="1" applyProtection="1"/>
    <xf numFmtId="0" fontId="95" fillId="12" borderId="99" xfId="0" applyFont="1" applyFill="1" applyBorder="1" applyProtection="1"/>
    <xf numFmtId="0" fontId="95" fillId="12" borderId="100" xfId="0" applyFont="1" applyFill="1" applyBorder="1" applyProtection="1"/>
    <xf numFmtId="0" fontId="88" fillId="12" borderId="100" xfId="0" applyFont="1" applyFill="1" applyBorder="1" applyProtection="1"/>
    <xf numFmtId="0" fontId="88" fillId="12" borderId="99" xfId="0" applyFont="1" applyFill="1" applyBorder="1" applyProtection="1"/>
    <xf numFmtId="0" fontId="89" fillId="12" borderId="99" xfId="0" applyFont="1" applyFill="1" applyBorder="1" applyProtection="1"/>
    <xf numFmtId="0" fontId="89" fillId="12" borderId="100" xfId="0" applyFont="1" applyFill="1" applyBorder="1" applyProtection="1"/>
    <xf numFmtId="0" fontId="32" fillId="0" borderId="0" xfId="0" applyFont="1" applyProtection="1"/>
    <xf numFmtId="0" fontId="7" fillId="19" borderId="6" xfId="0" applyFont="1" applyFill="1" applyBorder="1" applyAlignment="1">
      <alignment horizontal="left" wrapText="1"/>
    </xf>
    <xf numFmtId="0" fontId="0" fillId="14" borderId="5" xfId="0" applyFill="1" applyBorder="1" applyAlignment="1">
      <alignment horizontal="left" wrapText="1"/>
    </xf>
    <xf numFmtId="167" fontId="85" fillId="8" borderId="81" xfId="0" applyNumberFormat="1" applyFont="1" applyFill="1" applyBorder="1" applyAlignment="1" applyProtection="1">
      <protection locked="0"/>
    </xf>
    <xf numFmtId="0" fontId="15" fillId="22" borderId="54" xfId="44" applyFill="1" applyBorder="1" applyAlignment="1" applyProtection="1">
      <alignment horizontal="center"/>
    </xf>
    <xf numFmtId="0" fontId="77" fillId="22" borderId="25" xfId="44" applyFont="1" applyFill="1" applyBorder="1" applyAlignment="1" applyProtection="1">
      <alignment horizontal="center"/>
    </xf>
    <xf numFmtId="0" fontId="78" fillId="22" borderId="25" xfId="44" applyFont="1" applyFill="1" applyBorder="1" applyProtection="1">
      <protection locked="0"/>
    </xf>
    <xf numFmtId="1" fontId="43" fillId="22" borderId="25" xfId="44" applyNumberFormat="1" applyFont="1" applyFill="1" applyBorder="1" applyAlignment="1" applyProtection="1">
      <alignment horizontal="right" vertical="top" wrapText="1"/>
    </xf>
    <xf numFmtId="0" fontId="36" fillId="0" borderId="0" xfId="44" applyFont="1" applyFill="1" applyProtection="1">
      <protection locked="0"/>
    </xf>
    <xf numFmtId="0" fontId="38" fillId="0" borderId="0" xfId="44" applyFont="1" applyFill="1" applyProtection="1"/>
    <xf numFmtId="0" fontId="39" fillId="0" borderId="0" xfId="44" applyFont="1" applyFill="1" applyAlignment="1" applyProtection="1">
      <alignment horizontal="left"/>
    </xf>
    <xf numFmtId="0" fontId="41" fillId="0" borderId="0" xfId="44" applyFont="1" applyFill="1" applyProtection="1"/>
    <xf numFmtId="0" fontId="39" fillId="0" borderId="0" xfId="44" applyFont="1" applyFill="1"/>
    <xf numFmtId="0" fontId="47" fillId="0" borderId="0" xfId="44" applyFont="1" applyFill="1"/>
    <xf numFmtId="0" fontId="48" fillId="0" borderId="0" xfId="44" applyFont="1" applyFill="1"/>
    <xf numFmtId="0" fontId="47" fillId="0" borderId="0" xfId="44" applyFont="1" applyFill="1" applyProtection="1"/>
    <xf numFmtId="0" fontId="53" fillId="0" borderId="0" xfId="44" applyFont="1" applyFill="1" applyProtection="1"/>
    <xf numFmtId="0" fontId="54" fillId="0" borderId="0" xfId="44" applyFont="1" applyFill="1" applyProtection="1"/>
    <xf numFmtId="0" fontId="48" fillId="0" borderId="0" xfId="44" applyFont="1" applyFill="1" applyProtection="1"/>
    <xf numFmtId="0" fontId="15" fillId="22" borderId="70" xfId="44" applyFont="1" applyFill="1" applyBorder="1" applyAlignment="1">
      <alignment horizontal="center"/>
    </xf>
    <xf numFmtId="0" fontId="15" fillId="22" borderId="71" xfId="44" applyFont="1" applyFill="1" applyBorder="1" applyAlignment="1">
      <alignment horizontal="center"/>
    </xf>
    <xf numFmtId="0" fontId="15" fillId="22" borderId="71" xfId="44" applyFont="1" applyFill="1" applyBorder="1" applyAlignment="1">
      <alignment horizontal="left"/>
    </xf>
    <xf numFmtId="0" fontId="15" fillId="22" borderId="111" xfId="44" applyFont="1" applyFill="1" applyBorder="1" applyAlignment="1">
      <alignment horizontal="center"/>
    </xf>
    <xf numFmtId="0" fontId="47" fillId="22" borderId="71" xfId="44" applyFont="1" applyFill="1" applyBorder="1" applyAlignment="1" applyProtection="1">
      <alignment horizontal="center"/>
    </xf>
    <xf numFmtId="0" fontId="47" fillId="22" borderId="71" xfId="44" applyFont="1" applyFill="1" applyBorder="1" applyProtection="1">
      <protection locked="0"/>
    </xf>
    <xf numFmtId="0" fontId="47" fillId="22" borderId="71" xfId="44" applyFont="1" applyFill="1" applyBorder="1" applyAlignment="1" applyProtection="1">
      <alignment wrapText="1"/>
      <protection locked="0"/>
    </xf>
    <xf numFmtId="1" fontId="47" fillId="22" borderId="111" xfId="44" applyNumberFormat="1" applyFont="1" applyFill="1" applyBorder="1" applyProtection="1">
      <protection locked="0"/>
    </xf>
    <xf numFmtId="0" fontId="15" fillId="22" borderId="70" xfId="44" applyFill="1" applyBorder="1" applyAlignment="1">
      <alignment horizontal="center"/>
    </xf>
    <xf numFmtId="0" fontId="15" fillId="22" borderId="71" xfId="44" applyFill="1" applyBorder="1" applyAlignment="1">
      <alignment horizontal="center"/>
    </xf>
    <xf numFmtId="0" fontId="15" fillId="22" borderId="24" xfId="44" applyFill="1" applyBorder="1" applyProtection="1">
      <protection locked="0"/>
    </xf>
    <xf numFmtId="1" fontId="49" fillId="22" borderId="71" xfId="44" applyNumberFormat="1" applyFont="1" applyFill="1" applyBorder="1" applyAlignment="1">
      <alignment horizontal="center"/>
    </xf>
    <xf numFmtId="0" fontId="15" fillId="11" borderId="70" xfId="44" applyFill="1" applyBorder="1" applyAlignment="1">
      <alignment horizontal="center"/>
    </xf>
    <xf numFmtId="0" fontId="15" fillId="11" borderId="71" xfId="44" applyFill="1" applyBorder="1" applyAlignment="1">
      <alignment horizontal="center"/>
    </xf>
    <xf numFmtId="0" fontId="15" fillId="11" borderId="24" xfId="44" applyFill="1" applyBorder="1" applyProtection="1">
      <protection locked="0"/>
    </xf>
    <xf numFmtId="1" fontId="49" fillId="11" borderId="71" xfId="44" applyNumberFormat="1" applyFont="1" applyFill="1" applyBorder="1" applyAlignment="1">
      <alignment horizontal="center"/>
    </xf>
    <xf numFmtId="0" fontId="15" fillId="22" borderId="68" xfId="44" applyFill="1" applyBorder="1" applyProtection="1">
      <protection locked="0"/>
    </xf>
    <xf numFmtId="0" fontId="15" fillId="11" borderId="68" xfId="44" applyFill="1" applyBorder="1" applyProtection="1">
      <protection locked="0"/>
    </xf>
    <xf numFmtId="0" fontId="15" fillId="22" borderId="71" xfId="44" applyFill="1" applyBorder="1" applyProtection="1">
      <protection locked="0"/>
    </xf>
    <xf numFmtId="0" fontId="15" fillId="11" borderId="71" xfId="44" applyFill="1" applyBorder="1" applyProtection="1">
      <protection locked="0"/>
    </xf>
    <xf numFmtId="1" fontId="49" fillId="11" borderId="111" xfId="44" applyNumberFormat="1" applyFont="1" applyFill="1" applyBorder="1" applyAlignment="1">
      <alignment horizontal="center"/>
    </xf>
    <xf numFmtId="0" fontId="15" fillId="22" borderId="76" xfId="44" applyFill="1" applyBorder="1" applyProtection="1">
      <protection locked="0"/>
    </xf>
    <xf numFmtId="0" fontId="77" fillId="22" borderId="0" xfId="44" applyFont="1" applyFill="1"/>
    <xf numFmtId="0" fontId="15" fillId="37" borderId="43" xfId="44" applyFill="1" applyBorder="1" applyProtection="1"/>
    <xf numFmtId="0" fontId="48" fillId="37" borderId="39" xfId="44" applyFont="1" applyFill="1" applyBorder="1" applyProtection="1"/>
    <xf numFmtId="0" fontId="15" fillId="38" borderId="43" xfId="44" applyFill="1" applyBorder="1" applyProtection="1"/>
    <xf numFmtId="0" fontId="48" fillId="38" borderId="39" xfId="44" applyFont="1" applyFill="1" applyBorder="1" applyProtection="1"/>
    <xf numFmtId="0" fontId="15" fillId="39" borderId="43" xfId="44" applyFill="1" applyBorder="1" applyProtection="1"/>
    <xf numFmtId="0" fontId="48" fillId="39" borderId="39" xfId="44" applyFont="1" applyFill="1" applyBorder="1" applyProtection="1"/>
    <xf numFmtId="0" fontId="15" fillId="40" borderId="43" xfId="44" applyFill="1" applyBorder="1" applyProtection="1"/>
    <xf numFmtId="0" fontId="48" fillId="40" borderId="39" xfId="44" applyFont="1" applyFill="1" applyBorder="1" applyProtection="1"/>
    <xf numFmtId="0" fontId="47" fillId="21" borderId="43" xfId="44" applyFont="1" applyFill="1" applyBorder="1" applyProtection="1"/>
    <xf numFmtId="0" fontId="47" fillId="21" borderId="39" xfId="44" applyFont="1" applyFill="1" applyBorder="1" applyProtection="1"/>
    <xf numFmtId="0" fontId="15" fillId="41" borderId="43" xfId="44" applyFill="1" applyBorder="1" applyProtection="1"/>
    <xf numFmtId="0" fontId="48" fillId="41" borderId="39" xfId="44" applyFont="1" applyFill="1" applyBorder="1" applyProtection="1"/>
    <xf numFmtId="0" fontId="77" fillId="17" borderId="0" xfId="44" applyFont="1" applyFill="1"/>
    <xf numFmtId="0" fontId="15" fillId="28" borderId="0" xfId="44" applyFill="1"/>
    <xf numFmtId="0" fontId="15" fillId="18" borderId="0" xfId="44" applyFill="1"/>
    <xf numFmtId="0" fontId="15" fillId="24" borderId="0" xfId="44" applyFill="1"/>
    <xf numFmtId="0" fontId="15" fillId="27" borderId="0" xfId="44" applyFill="1"/>
    <xf numFmtId="0" fontId="15" fillId="37" borderId="0" xfId="44" applyFill="1"/>
    <xf numFmtId="0" fontId="15" fillId="38" borderId="0" xfId="44" applyFill="1"/>
    <xf numFmtId="0" fontId="15" fillId="39" borderId="0" xfId="44" applyFill="1"/>
    <xf numFmtId="0" fontId="15" fillId="40" borderId="0" xfId="44" applyFill="1"/>
    <xf numFmtId="0" fontId="15" fillId="16" borderId="0" xfId="44" applyFill="1"/>
    <xf numFmtId="0" fontId="15" fillId="26" borderId="0" xfId="44" applyFill="1"/>
    <xf numFmtId="0" fontId="15" fillId="41" borderId="0" xfId="44" applyFill="1"/>
    <xf numFmtId="0" fontId="15" fillId="11" borderId="0" xfId="44" applyFill="1"/>
    <xf numFmtId="0" fontId="15" fillId="25" borderId="0" xfId="44" applyFill="1"/>
    <xf numFmtId="0" fontId="15" fillId="23" borderId="0" xfId="44" applyFill="1"/>
    <xf numFmtId="0" fontId="15" fillId="14" borderId="0" xfId="44" applyFill="1"/>
    <xf numFmtId="0" fontId="47" fillId="21" borderId="0" xfId="44" applyFont="1" applyFill="1"/>
    <xf numFmtId="0" fontId="15" fillId="17" borderId="62" xfId="44" applyFont="1" applyFill="1" applyBorder="1" applyProtection="1"/>
    <xf numFmtId="0" fontId="15" fillId="17" borderId="67" xfId="44" applyFont="1" applyFill="1" applyBorder="1" applyProtection="1"/>
    <xf numFmtId="0" fontId="15" fillId="17" borderId="72" xfId="44" applyFont="1" applyFill="1" applyBorder="1" applyProtection="1"/>
    <xf numFmtId="0" fontId="15" fillId="17" borderId="22" xfId="44" applyFont="1" applyFill="1" applyBorder="1" applyProtection="1"/>
    <xf numFmtId="0" fontId="15" fillId="17" borderId="22" xfId="44" applyFill="1" applyBorder="1" applyProtection="1"/>
    <xf numFmtId="0" fontId="15" fillId="17" borderId="67" xfId="44" applyFill="1" applyBorder="1" applyProtection="1"/>
    <xf numFmtId="0" fontId="15" fillId="17" borderId="112" xfId="44" applyFill="1" applyBorder="1" applyProtection="1"/>
    <xf numFmtId="0" fontId="15" fillId="17" borderId="72" xfId="44" applyFill="1" applyBorder="1" applyProtection="1"/>
    <xf numFmtId="0" fontId="15" fillId="17" borderId="113" xfId="44" applyFill="1" applyBorder="1" applyProtection="1"/>
    <xf numFmtId="0" fontId="77" fillId="22" borderId="62" xfId="44" applyFont="1" applyFill="1" applyBorder="1" applyProtection="1"/>
    <xf numFmtId="0" fontId="15" fillId="22" borderId="63" xfId="44" applyFill="1" applyBorder="1" applyProtection="1"/>
    <xf numFmtId="0" fontId="77" fillId="22" borderId="67" xfId="44" applyFont="1" applyFill="1" applyBorder="1" applyProtection="1"/>
    <xf numFmtId="0" fontId="15" fillId="22" borderId="69" xfId="44" applyFill="1" applyBorder="1" applyProtection="1"/>
    <xf numFmtId="0" fontId="77" fillId="22" borderId="72" xfId="44" applyFont="1" applyFill="1" applyBorder="1" applyProtection="1"/>
    <xf numFmtId="0" fontId="15" fillId="22" borderId="73" xfId="44" applyFill="1" applyBorder="1" applyProtection="1"/>
    <xf numFmtId="0" fontId="15" fillId="22" borderId="62" xfId="44" applyFont="1" applyFill="1" applyBorder="1" applyProtection="1"/>
    <xf numFmtId="0" fontId="15" fillId="22" borderId="67" xfId="44" applyFont="1" applyFill="1" applyBorder="1" applyProtection="1"/>
    <xf numFmtId="0" fontId="15" fillId="22" borderId="72" xfId="44" applyFont="1" applyFill="1" applyBorder="1" applyProtection="1"/>
    <xf numFmtId="0" fontId="51" fillId="22" borderId="0" xfId="45" applyFill="1" applyProtection="1"/>
    <xf numFmtId="0" fontId="15" fillId="22" borderId="62" xfId="44" applyFill="1" applyBorder="1" applyProtection="1"/>
    <xf numFmtId="0" fontId="15" fillId="22" borderId="48" xfId="44" applyFill="1" applyBorder="1" applyProtection="1"/>
    <xf numFmtId="0" fontId="15" fillId="22" borderId="0" xfId="44" applyFill="1"/>
    <xf numFmtId="0" fontId="15" fillId="22" borderId="67" xfId="44" applyFill="1" applyBorder="1" applyProtection="1"/>
    <xf numFmtId="0" fontId="15" fillId="22" borderId="112" xfId="44" applyFill="1" applyBorder="1" applyProtection="1"/>
    <xf numFmtId="0" fontId="15" fillId="22" borderId="72" xfId="44" applyFill="1" applyBorder="1" applyProtection="1"/>
    <xf numFmtId="0" fontId="15" fillId="22" borderId="113" xfId="44" applyFill="1" applyBorder="1" applyProtection="1"/>
    <xf numFmtId="0" fontId="74" fillId="11" borderId="80" xfId="0" applyNumberFormat="1" applyFont="1" applyFill="1" applyBorder="1" applyAlignment="1" applyProtection="1">
      <alignment horizontal="center"/>
    </xf>
    <xf numFmtId="0" fontId="74" fillId="11" borderId="81" xfId="0" applyNumberFormat="1" applyFont="1" applyFill="1" applyBorder="1" applyAlignment="1" applyProtection="1">
      <alignment horizontal="center"/>
    </xf>
    <xf numFmtId="0" fontId="74" fillId="11" borderId="82" xfId="0" applyNumberFormat="1" applyFont="1" applyFill="1" applyBorder="1" applyAlignment="1" applyProtection="1">
      <alignment horizontal="center"/>
    </xf>
    <xf numFmtId="0" fontId="74" fillId="11" borderId="74" xfId="0" applyNumberFormat="1" applyFont="1" applyFill="1" applyBorder="1" applyAlignment="1" applyProtection="1">
      <alignment horizontal="center"/>
    </xf>
    <xf numFmtId="0" fontId="6" fillId="42" borderId="59" xfId="0" applyFont="1" applyFill="1" applyBorder="1"/>
    <xf numFmtId="0" fontId="0" fillId="43" borderId="0" xfId="0" applyFill="1" applyAlignment="1">
      <alignment horizontal="left" wrapText="1"/>
    </xf>
    <xf numFmtId="0" fontId="15" fillId="22" borderId="54" xfId="44" applyFill="1" applyBorder="1" applyAlignment="1">
      <alignment horizontal="center"/>
    </xf>
    <xf numFmtId="0" fontId="15" fillId="22" borderId="25" xfId="44" applyFill="1" applyBorder="1" applyAlignment="1">
      <alignment horizontal="center"/>
    </xf>
    <xf numFmtId="0" fontId="15" fillId="22" borderId="61" xfId="44" applyFill="1" applyBorder="1" applyAlignment="1">
      <alignment horizontal="center"/>
    </xf>
    <xf numFmtId="0" fontId="15" fillId="22" borderId="0" xfId="44" applyFill="1" applyAlignment="1">
      <alignment horizontal="center"/>
    </xf>
    <xf numFmtId="1" fontId="49" fillId="22" borderId="55" xfId="44" applyNumberFormat="1" applyFont="1" applyFill="1" applyBorder="1" applyAlignment="1">
      <alignment horizontal="center"/>
    </xf>
    <xf numFmtId="1" fontId="49" fillId="22" borderId="111" xfId="44" applyNumberFormat="1" applyFont="1" applyFill="1" applyBorder="1" applyAlignment="1">
      <alignment horizontal="center"/>
    </xf>
    <xf numFmtId="0" fontId="15" fillId="22" borderId="25" xfId="44" applyFill="1" applyBorder="1" applyProtection="1">
      <protection locked="0"/>
    </xf>
    <xf numFmtId="0" fontId="15" fillId="22" borderId="0" xfId="44" applyFill="1" applyProtection="1">
      <protection locked="0"/>
    </xf>
    <xf numFmtId="0" fontId="15" fillId="11" borderId="76" xfId="44" applyFill="1" applyBorder="1" applyProtection="1">
      <protection locked="0"/>
    </xf>
    <xf numFmtId="0" fontId="15" fillId="22" borderId="72" xfId="44" applyFill="1" applyBorder="1" applyAlignment="1">
      <alignment horizontal="center"/>
    </xf>
    <xf numFmtId="0" fontId="15" fillId="22" borderId="76" xfId="44" applyFill="1" applyBorder="1" applyAlignment="1">
      <alignment horizontal="center"/>
    </xf>
    <xf numFmtId="0" fontId="15" fillId="22" borderId="73" xfId="44" applyFill="1" applyBorder="1" applyAlignment="1">
      <alignment horizontal="center"/>
    </xf>
    <xf numFmtId="1" fontId="57" fillId="22" borderId="55" xfId="44" applyNumberFormat="1" applyFont="1" applyFill="1" applyBorder="1" applyAlignment="1" applyProtection="1">
      <alignment horizontal="right" vertical="top" wrapText="1"/>
      <protection locked="0"/>
    </xf>
    <xf numFmtId="0" fontId="15" fillId="11" borderId="72" xfId="44" applyFill="1" applyBorder="1" applyAlignment="1">
      <alignment horizontal="center"/>
    </xf>
    <xf numFmtId="0" fontId="15" fillId="11" borderId="76" xfId="44" applyFill="1" applyBorder="1" applyAlignment="1">
      <alignment horizontal="center"/>
    </xf>
    <xf numFmtId="1" fontId="49" fillId="11" borderId="73" xfId="44" applyNumberFormat="1" applyFont="1" applyFill="1" applyBorder="1" applyAlignment="1">
      <alignment horizontal="center"/>
    </xf>
    <xf numFmtId="1" fontId="57" fillId="22" borderId="55" xfId="44" applyNumberFormat="1" applyFont="1" applyFill="1" applyBorder="1" applyAlignment="1" applyProtection="1">
      <alignment vertical="top"/>
      <protection locked="0"/>
    </xf>
    <xf numFmtId="1" fontId="49" fillId="22" borderId="73" xfId="44" applyNumberFormat="1" applyFont="1" applyFill="1" applyBorder="1" applyAlignment="1">
      <alignment horizontal="center"/>
    </xf>
    <xf numFmtId="1" fontId="49" fillId="11" borderId="55" xfId="44" applyNumberFormat="1" applyFont="1" applyFill="1" applyBorder="1" applyAlignment="1">
      <alignment horizontal="center"/>
    </xf>
    <xf numFmtId="0" fontId="55" fillId="22" borderId="49" xfId="44" applyFont="1" applyFill="1" applyBorder="1" applyAlignment="1">
      <alignment horizontal="centerContinuous"/>
    </xf>
    <xf numFmtId="0" fontId="56" fillId="22" borderId="50" xfId="44" applyFont="1" applyFill="1" applyBorder="1" applyAlignment="1">
      <alignment horizontal="centerContinuous"/>
    </xf>
    <xf numFmtId="0" fontId="55" fillId="22" borderId="50" xfId="44" applyFont="1" applyFill="1" applyBorder="1" applyAlignment="1">
      <alignment horizontal="centerContinuous"/>
    </xf>
    <xf numFmtId="0" fontId="56" fillId="22" borderId="50" xfId="44" applyFont="1" applyFill="1" applyBorder="1" applyAlignment="1">
      <alignment horizontal="centerContinuous" vertical="top"/>
    </xf>
    <xf numFmtId="0" fontId="56" fillId="22" borderId="51" xfId="44" applyFont="1" applyFill="1" applyBorder="1" applyAlignment="1">
      <alignment horizontal="centerContinuous" vertical="top"/>
    </xf>
    <xf numFmtId="0" fontId="1" fillId="0" borderId="0" xfId="68"/>
    <xf numFmtId="0" fontId="44" fillId="22" borderId="56" xfId="44" applyFont="1" applyFill="1" applyBorder="1" applyAlignment="1">
      <alignment horizontal="centerContinuous"/>
    </xf>
    <xf numFmtId="0" fontId="38" fillId="22" borderId="10" xfId="44" applyFont="1" applyFill="1" applyBorder="1" applyAlignment="1">
      <alignment horizontal="centerContinuous"/>
    </xf>
    <xf numFmtId="175" fontId="44" fillId="22" borderId="10" xfId="44" applyNumberFormat="1" applyFont="1" applyFill="1" applyBorder="1" applyAlignment="1">
      <alignment horizontal="centerContinuous"/>
    </xf>
    <xf numFmtId="175" fontId="38" fillId="22" borderId="57" xfId="44" applyNumberFormat="1" applyFont="1" applyFill="1" applyBorder="1" applyAlignment="1">
      <alignment horizontal="centerContinuous" vertical="top"/>
    </xf>
    <xf numFmtId="1" fontId="44" fillId="22" borderId="56" xfId="44" applyNumberFormat="1" applyFont="1" applyFill="1" applyBorder="1" applyAlignment="1">
      <alignment horizontal="centerContinuous"/>
    </xf>
    <xf numFmtId="0" fontId="15" fillId="22" borderId="55" xfId="44" applyFill="1" applyBorder="1" applyAlignment="1">
      <alignment horizontal="center"/>
    </xf>
    <xf numFmtId="0" fontId="15" fillId="11" borderId="54" xfId="44" applyFill="1" applyBorder="1" applyAlignment="1">
      <alignment horizontal="center"/>
    </xf>
    <xf numFmtId="0" fontId="15" fillId="11" borderId="25" xfId="44" applyFill="1" applyBorder="1" applyAlignment="1">
      <alignment horizontal="center"/>
    </xf>
    <xf numFmtId="0" fontId="15" fillId="22" borderId="111" xfId="44" applyFill="1" applyBorder="1" applyAlignment="1">
      <alignment horizontal="center"/>
    </xf>
    <xf numFmtId="0" fontId="49" fillId="22" borderId="111" xfId="44" applyFont="1" applyFill="1" applyBorder="1" applyAlignment="1">
      <alignment horizontal="center"/>
    </xf>
    <xf numFmtId="0" fontId="49" fillId="11" borderId="111" xfId="44" applyFont="1" applyFill="1" applyBorder="1" applyAlignment="1">
      <alignment horizontal="center"/>
    </xf>
    <xf numFmtId="0" fontId="0" fillId="0" borderId="0" xfId="69" applyNumberFormat="1" applyFont="1"/>
    <xf numFmtId="0" fontId="6" fillId="0" borderId="0" xfId="0" applyFont="1" applyAlignment="1">
      <alignment horizontal="left" wrapText="1"/>
    </xf>
    <xf numFmtId="0" fontId="7" fillId="19" borderId="5" xfId="0" applyFont="1" applyFill="1" applyBorder="1" applyAlignment="1">
      <alignment horizontal="left" wrapText="1"/>
    </xf>
    <xf numFmtId="0" fontId="0" fillId="19" borderId="5" xfId="0" applyFill="1" applyBorder="1" applyAlignment="1">
      <alignment horizontal="left" wrapText="1"/>
    </xf>
    <xf numFmtId="0" fontId="0" fillId="0" borderId="0" xfId="0" applyAlignment="1">
      <alignment horizontal="left" wrapText="1"/>
    </xf>
    <xf numFmtId="0" fontId="0" fillId="15" borderId="59" xfId="0" applyFont="1" applyFill="1" applyBorder="1" applyAlignment="1">
      <alignment horizontal="left" vertical="top" wrapText="1"/>
    </xf>
    <xf numFmtId="0" fontId="0" fillId="15" borderId="5" xfId="0" applyFont="1" applyFill="1" applyBorder="1" applyAlignment="1">
      <alignment horizontal="left" vertical="top" wrapText="1"/>
    </xf>
    <xf numFmtId="0" fontId="13" fillId="36" borderId="5" xfId="0" applyFont="1" applyFill="1" applyBorder="1" applyAlignment="1">
      <alignment horizontal="left" vertical="center" wrapText="1"/>
    </xf>
    <xf numFmtId="0" fontId="13" fillId="36" borderId="6" xfId="0" applyFont="1" applyFill="1" applyBorder="1" applyAlignment="1">
      <alignment horizontal="left" vertical="center" wrapText="1"/>
    </xf>
    <xf numFmtId="0" fontId="35" fillId="19" borderId="59" xfId="0" applyFont="1" applyFill="1" applyBorder="1" applyAlignment="1">
      <alignment horizontal="left" wrapText="1"/>
    </xf>
    <xf numFmtId="0" fontId="35" fillId="19" borderId="5" xfId="0" applyFont="1" applyFill="1" applyBorder="1" applyAlignment="1">
      <alignment horizontal="left" wrapText="1"/>
    </xf>
    <xf numFmtId="0" fontId="0" fillId="14" borderId="5" xfId="0" applyFill="1" applyBorder="1" applyAlignment="1">
      <alignment horizontal="left" wrapText="1"/>
    </xf>
    <xf numFmtId="0" fontId="0" fillId="15" borderId="5" xfId="0" applyFill="1" applyBorder="1" applyAlignment="1">
      <alignment horizontal="left" wrapText="1"/>
    </xf>
    <xf numFmtId="0" fontId="79" fillId="20" borderId="52" xfId="44" applyFont="1" applyFill="1" applyBorder="1" applyAlignment="1" applyProtection="1">
      <alignment horizontal="left"/>
      <protection locked="0"/>
    </xf>
    <xf numFmtId="0" fontId="15" fillId="20" borderId="22" xfId="44" applyFill="1" applyBorder="1" applyAlignment="1" applyProtection="1">
      <alignment horizontal="left"/>
      <protection locked="0"/>
    </xf>
    <xf numFmtId="0" fontId="15" fillId="20" borderId="53" xfId="44" applyFill="1" applyBorder="1" applyAlignment="1" applyProtection="1">
      <alignment horizontal="left"/>
      <protection locked="0"/>
    </xf>
    <xf numFmtId="0" fontId="15" fillId="20" borderId="52" xfId="44" applyFill="1" applyBorder="1" applyAlignment="1" applyProtection="1">
      <alignment horizontal="left"/>
      <protection locked="0"/>
    </xf>
    <xf numFmtId="0" fontId="13" fillId="0" borderId="23" xfId="44" applyFont="1" applyFill="1" applyBorder="1" applyAlignment="1">
      <alignment horizontal="left" wrapText="1"/>
    </xf>
    <xf numFmtId="0" fontId="15" fillId="22" borderId="0" xfId="44" applyFill="1" applyBorder="1" applyAlignment="1" applyProtection="1">
      <alignment horizontal="left"/>
      <protection locked="0"/>
    </xf>
    <xf numFmtId="0" fontId="15" fillId="20" borderId="62" xfId="44" applyFill="1" applyBorder="1" applyAlignment="1" applyProtection="1">
      <alignment horizontal="left"/>
      <protection locked="0"/>
    </xf>
    <xf numFmtId="0" fontId="15" fillId="20" borderId="24" xfId="44" applyFill="1" applyBorder="1" applyAlignment="1" applyProtection="1">
      <alignment horizontal="left"/>
      <protection locked="0"/>
    </xf>
    <xf numFmtId="0" fontId="15" fillId="20" borderId="63" xfId="44" applyFill="1" applyBorder="1" applyAlignment="1" applyProtection="1">
      <alignment horizontal="left"/>
      <protection locked="0"/>
    </xf>
    <xf numFmtId="0" fontId="79" fillId="20" borderId="62" xfId="44" applyFont="1" applyFill="1" applyBorder="1" applyAlignment="1" applyProtection="1">
      <alignment horizontal="left"/>
      <protection locked="0"/>
    </xf>
    <xf numFmtId="0" fontId="15" fillId="22" borderId="25" xfId="44" applyFill="1" applyBorder="1" applyAlignment="1" applyProtection="1">
      <alignment horizontal="left"/>
      <protection locked="0"/>
    </xf>
    <xf numFmtId="0" fontId="15" fillId="22" borderId="55" xfId="44" applyFill="1" applyBorder="1" applyAlignment="1" applyProtection="1">
      <alignment horizontal="left"/>
      <protection locked="0"/>
    </xf>
    <xf numFmtId="0" fontId="15" fillId="20" borderId="54" xfId="44" applyFill="1" applyBorder="1" applyAlignment="1" applyProtection="1">
      <alignment horizontal="left"/>
      <protection locked="0"/>
    </xf>
    <xf numFmtId="0" fontId="15" fillId="20" borderId="25" xfId="44" applyFill="1" applyBorder="1" applyAlignment="1" applyProtection="1">
      <alignment horizontal="left"/>
      <protection locked="0"/>
    </xf>
    <xf numFmtId="0" fontId="15" fillId="20" borderId="55" xfId="44" applyFill="1" applyBorder="1" applyAlignment="1" applyProtection="1">
      <alignment horizontal="left"/>
      <protection locked="0"/>
    </xf>
    <xf numFmtId="0" fontId="45" fillId="0" borderId="23" xfId="44" applyFont="1" applyFill="1" applyBorder="1" applyAlignment="1">
      <alignment horizontal="left" vertical="center" wrapText="1"/>
    </xf>
    <xf numFmtId="0" fontId="79" fillId="20" borderId="22" xfId="44" applyFont="1" applyFill="1" applyBorder="1" applyAlignment="1" applyProtection="1">
      <alignment horizontal="left"/>
      <protection locked="0"/>
    </xf>
    <xf numFmtId="0" fontId="79" fillId="20" borderId="53" xfId="44" applyFont="1" applyFill="1" applyBorder="1" applyAlignment="1" applyProtection="1">
      <alignment horizontal="left"/>
      <protection locked="0"/>
    </xf>
    <xf numFmtId="20" fontId="79" fillId="20" borderId="62" xfId="44" applyNumberFormat="1" applyFont="1" applyFill="1" applyBorder="1" applyAlignment="1" applyProtection="1">
      <alignment horizontal="left"/>
      <protection locked="0"/>
    </xf>
    <xf numFmtId="0" fontId="13" fillId="0" borderId="23" xfId="44" applyFont="1" applyFill="1" applyBorder="1" applyAlignment="1">
      <alignment horizontal="left" vertical="center" wrapText="1"/>
    </xf>
    <xf numFmtId="0" fontId="13" fillId="0" borderId="54" xfId="44" applyFont="1" applyBorder="1" applyAlignment="1" applyProtection="1">
      <alignment horizontal="left"/>
    </xf>
    <xf numFmtId="0" fontId="13" fillId="0" borderId="25" xfId="44" applyFont="1" applyBorder="1" applyAlignment="1" applyProtection="1">
      <alignment horizontal="left"/>
    </xf>
    <xf numFmtId="0" fontId="13" fillId="0" borderId="55" xfId="44" applyFont="1" applyBorder="1" applyAlignment="1" applyProtection="1">
      <alignment horizontal="left"/>
    </xf>
    <xf numFmtId="0" fontId="13" fillId="0" borderId="56" xfId="44" applyFont="1" applyBorder="1" applyAlignment="1" applyProtection="1">
      <alignment horizontal="left"/>
    </xf>
    <xf numFmtId="0" fontId="13" fillId="0" borderId="10" xfId="44" applyFont="1" applyBorder="1" applyAlignment="1" applyProtection="1">
      <alignment horizontal="left"/>
    </xf>
    <xf numFmtId="0" fontId="13" fillId="0" borderId="57" xfId="44" applyFont="1" applyBorder="1" applyAlignment="1" applyProtection="1">
      <alignment horizontal="left"/>
    </xf>
    <xf numFmtId="0" fontId="13" fillId="0" borderId="54" xfId="44" applyFont="1" applyFill="1" applyBorder="1" applyAlignment="1" applyProtection="1">
      <alignment horizontal="left"/>
    </xf>
    <xf numFmtId="0" fontId="13" fillId="0" borderId="25" xfId="44" applyFont="1" applyFill="1" applyBorder="1" applyAlignment="1" applyProtection="1">
      <alignment horizontal="left"/>
    </xf>
    <xf numFmtId="0" fontId="13" fillId="0" borderId="55" xfId="44" applyFont="1" applyFill="1" applyBorder="1" applyAlignment="1" applyProtection="1">
      <alignment horizontal="left"/>
    </xf>
    <xf numFmtId="0" fontId="13" fillId="0" borderId="56" xfId="44" applyFont="1" applyFill="1" applyBorder="1" applyAlignment="1" applyProtection="1">
      <alignment horizontal="left"/>
    </xf>
    <xf numFmtId="0" fontId="13" fillId="0" borderId="10" xfId="44" applyFont="1" applyFill="1" applyBorder="1" applyAlignment="1" applyProtection="1">
      <alignment horizontal="left"/>
    </xf>
    <xf numFmtId="0" fontId="13" fillId="0" borderId="57" xfId="44" applyFont="1" applyFill="1" applyBorder="1" applyAlignment="1" applyProtection="1">
      <alignment horizontal="left"/>
    </xf>
    <xf numFmtId="0" fontId="85" fillId="11" borderId="60" xfId="0" applyFont="1" applyFill="1" applyBorder="1" applyAlignment="1">
      <alignment horizontal="left" vertical="top" wrapText="1"/>
    </xf>
    <xf numFmtId="0" fontId="85" fillId="11" borderId="25" xfId="0" applyFont="1" applyFill="1" applyBorder="1" applyAlignment="1">
      <alignment horizontal="left" vertical="top" wrapText="1"/>
    </xf>
    <xf numFmtId="0" fontId="85" fillId="11" borderId="58" xfId="0" applyFont="1" applyFill="1" applyBorder="1" applyAlignment="1">
      <alignment horizontal="left" vertical="top" wrapText="1"/>
    </xf>
    <xf numFmtId="0" fontId="85" fillId="11" borderId="42" xfId="0" applyFont="1" applyFill="1" applyBorder="1" applyAlignment="1">
      <alignment horizontal="left" vertical="top" wrapText="1"/>
    </xf>
    <xf numFmtId="0" fontId="85" fillId="11" borderId="10" xfId="0" applyFont="1" applyFill="1" applyBorder="1" applyAlignment="1">
      <alignment horizontal="left" vertical="top" wrapText="1"/>
    </xf>
    <xf numFmtId="0" fontId="85" fillId="11" borderId="9" xfId="0" applyFont="1" applyFill="1" applyBorder="1" applyAlignment="1">
      <alignment horizontal="left" vertical="top" wrapText="1"/>
    </xf>
    <xf numFmtId="0" fontId="83" fillId="11" borderId="40" xfId="0" applyFont="1" applyFill="1" applyBorder="1" applyAlignment="1">
      <alignment horizontal="left" wrapText="1"/>
    </xf>
    <xf numFmtId="0" fontId="83" fillId="11" borderId="35" xfId="0" applyFont="1" applyFill="1" applyBorder="1" applyAlignment="1">
      <alignment horizontal="left" wrapText="1"/>
    </xf>
    <xf numFmtId="0" fontId="83" fillId="11" borderId="36" xfId="0" applyFont="1" applyFill="1" applyBorder="1" applyAlignment="1">
      <alignment horizontal="left" wrapText="1"/>
    </xf>
    <xf numFmtId="0" fontId="83" fillId="11" borderId="29" xfId="0" applyFont="1" applyFill="1" applyBorder="1" applyAlignment="1">
      <alignment horizontal="left" wrapText="1"/>
    </xf>
    <xf numFmtId="0" fontId="83" fillId="11" borderId="0" xfId="0" applyFont="1" applyFill="1" applyBorder="1" applyAlignment="1">
      <alignment horizontal="left" wrapText="1"/>
    </xf>
    <xf numFmtId="0" fontId="83" fillId="11" borderId="37" xfId="0" applyFont="1" applyFill="1" applyBorder="1" applyAlignment="1">
      <alignment horizontal="left" wrapText="1"/>
    </xf>
    <xf numFmtId="0" fontId="85" fillId="12" borderId="60" xfId="0" applyFont="1" applyFill="1" applyBorder="1" applyAlignment="1">
      <alignment horizontal="left" wrapText="1"/>
    </xf>
    <xf numFmtId="0" fontId="85" fillId="12" borderId="25" xfId="0" applyFont="1" applyFill="1" applyBorder="1" applyAlignment="1">
      <alignment horizontal="left" wrapText="1"/>
    </xf>
    <xf numFmtId="0" fontId="85" fillId="12" borderId="55" xfId="0" applyFont="1" applyFill="1" applyBorder="1" applyAlignment="1">
      <alignment horizontal="left" wrapText="1"/>
    </xf>
    <xf numFmtId="0" fontId="85" fillId="12" borderId="42" xfId="0" applyFont="1" applyFill="1" applyBorder="1" applyAlignment="1">
      <alignment horizontal="left" wrapText="1"/>
    </xf>
    <xf numFmtId="0" fontId="85" fillId="12" borderId="10" xfId="0" applyFont="1" applyFill="1" applyBorder="1" applyAlignment="1">
      <alignment horizontal="left" wrapText="1"/>
    </xf>
    <xf numFmtId="0" fontId="85" fillId="12" borderId="57" xfId="0" applyFont="1" applyFill="1" applyBorder="1" applyAlignment="1">
      <alignment horizontal="left" wrapText="1"/>
    </xf>
    <xf numFmtId="0" fontId="13" fillId="12" borderId="60" xfId="0" applyFont="1" applyFill="1" applyBorder="1" applyAlignment="1">
      <alignment horizontal="left" wrapText="1"/>
    </xf>
    <xf numFmtId="0" fontId="85" fillId="12" borderId="45" xfId="0" applyFont="1" applyFill="1" applyBorder="1" applyAlignment="1">
      <alignment horizontal="left" wrapText="1"/>
    </xf>
    <xf numFmtId="0" fontId="85" fillId="12" borderId="14" xfId="0" applyFont="1" applyFill="1" applyBorder="1" applyAlignment="1">
      <alignment horizontal="left" wrapText="1"/>
    </xf>
    <xf numFmtId="0" fontId="85" fillId="8" borderId="54" xfId="0" applyFont="1" applyFill="1" applyBorder="1" applyAlignment="1" applyProtection="1">
      <alignment horizontal="center"/>
      <protection locked="0"/>
    </xf>
    <xf numFmtId="0" fontId="85" fillId="8" borderId="58" xfId="0" applyFont="1" applyFill="1" applyBorder="1" applyAlignment="1" applyProtection="1">
      <alignment horizontal="center"/>
      <protection locked="0"/>
    </xf>
    <xf numFmtId="0" fontId="85" fillId="8" borderId="96" xfId="0" applyFont="1" applyFill="1" applyBorder="1" applyAlignment="1" applyProtection="1">
      <alignment horizontal="center"/>
      <protection locked="0"/>
    </xf>
    <xf numFmtId="0" fontId="85" fillId="8" borderId="38" xfId="0" applyFont="1" applyFill="1" applyBorder="1" applyAlignment="1" applyProtection="1">
      <alignment horizontal="center"/>
      <protection locked="0"/>
    </xf>
    <xf numFmtId="0" fontId="85" fillId="0" borderId="0" xfId="0" applyFont="1" applyFill="1" applyBorder="1" applyAlignment="1">
      <alignment horizontal="center" wrapText="1"/>
    </xf>
    <xf numFmtId="0" fontId="33" fillId="11" borderId="64" xfId="0" applyFont="1" applyFill="1" applyBorder="1" applyAlignment="1">
      <alignment horizontal="left"/>
    </xf>
    <xf numFmtId="0" fontId="33" fillId="11" borderId="2" xfId="0" applyFont="1" applyFill="1" applyBorder="1" applyAlignment="1">
      <alignment horizontal="left"/>
    </xf>
    <xf numFmtId="0" fontId="33" fillId="11" borderId="47" xfId="0" applyFont="1" applyFill="1" applyBorder="1" applyAlignment="1">
      <alignment horizontal="left"/>
    </xf>
    <xf numFmtId="0" fontId="85" fillId="12" borderId="95" xfId="0" applyFont="1" applyFill="1" applyBorder="1" applyAlignment="1">
      <alignment horizontal="left"/>
    </xf>
    <xf numFmtId="0" fontId="85" fillId="12" borderId="3" xfId="0" applyFont="1" applyFill="1" applyBorder="1" applyAlignment="1">
      <alignment horizontal="left"/>
    </xf>
    <xf numFmtId="0" fontId="85" fillId="8" borderId="3" xfId="0" applyFont="1" applyFill="1" applyBorder="1" applyAlignment="1" applyProtection="1">
      <alignment horizontal="right"/>
      <protection locked="0"/>
    </xf>
    <xf numFmtId="2" fontId="85" fillId="12" borderId="52" xfId="0" applyNumberFormat="1" applyFont="1" applyFill="1" applyBorder="1" applyAlignment="1">
      <alignment horizontal="right"/>
    </xf>
    <xf numFmtId="2" fontId="85" fillId="12" borderId="39" xfId="0" applyNumberFormat="1" applyFont="1" applyFill="1" applyBorder="1" applyAlignment="1">
      <alignment horizontal="right"/>
    </xf>
    <xf numFmtId="0" fontId="85" fillId="12" borderId="80" xfId="0" applyFont="1" applyFill="1" applyBorder="1" applyAlignment="1">
      <alignment horizontal="left"/>
    </xf>
    <xf numFmtId="0" fontId="85" fillId="12" borderId="81" xfId="0" applyFont="1" applyFill="1" applyBorder="1" applyAlignment="1">
      <alignment horizontal="left"/>
    </xf>
    <xf numFmtId="4" fontId="85" fillId="12" borderId="81" xfId="0" applyNumberFormat="1" applyFont="1" applyFill="1" applyBorder="1" applyAlignment="1">
      <alignment horizontal="right"/>
    </xf>
    <xf numFmtId="2" fontId="85" fillId="12" borderId="74" xfId="0" applyNumberFormat="1" applyFont="1" applyFill="1" applyBorder="1" applyAlignment="1">
      <alignment horizontal="right"/>
    </xf>
    <xf numFmtId="2" fontId="85" fillId="12" borderId="75" xfId="0" applyNumberFormat="1" applyFont="1" applyFill="1" applyBorder="1" applyAlignment="1">
      <alignment horizontal="right"/>
    </xf>
    <xf numFmtId="0" fontId="85" fillId="12" borderId="95" xfId="0" applyFont="1" applyFill="1" applyBorder="1" applyAlignment="1">
      <alignment horizontal="center"/>
    </xf>
    <xf numFmtId="0" fontId="85" fillId="12" borderId="3" xfId="0" applyFont="1" applyFill="1" applyBorder="1" applyAlignment="1">
      <alignment horizontal="center"/>
    </xf>
    <xf numFmtId="0" fontId="85" fillId="12" borderId="3" xfId="0" applyFont="1" applyFill="1" applyBorder="1" applyAlignment="1">
      <alignment horizontal="right"/>
    </xf>
    <xf numFmtId="0" fontId="85" fillId="12" borderId="52" xfId="0" applyFont="1" applyFill="1" applyBorder="1" applyAlignment="1">
      <alignment horizontal="right"/>
    </xf>
    <xf numFmtId="0" fontId="85" fillId="12" borderId="39" xfId="0" applyFont="1" applyFill="1" applyBorder="1" applyAlignment="1">
      <alignment horizontal="right"/>
    </xf>
    <xf numFmtId="0" fontId="81" fillId="32" borderId="64" xfId="0" applyFont="1" applyFill="1" applyBorder="1" applyAlignment="1" applyProtection="1">
      <alignment horizontal="center"/>
      <protection locked="0"/>
    </xf>
    <xf numFmtId="0" fontId="81" fillId="32" borderId="2" xfId="0" applyFont="1" applyFill="1" applyBorder="1" applyAlignment="1" applyProtection="1">
      <alignment horizontal="center"/>
      <protection locked="0"/>
    </xf>
    <xf numFmtId="0" fontId="81" fillId="32" borderId="47" xfId="0" applyFont="1" applyFill="1" applyBorder="1" applyAlignment="1" applyProtection="1">
      <alignment horizontal="center"/>
      <protection locked="0"/>
    </xf>
    <xf numFmtId="0" fontId="13" fillId="12" borderId="95" xfId="0" applyFont="1" applyFill="1" applyBorder="1" applyAlignment="1">
      <alignment horizontal="left"/>
    </xf>
    <xf numFmtId="0" fontId="13" fillId="8" borderId="52" xfId="0" applyFont="1" applyFill="1" applyBorder="1" applyAlignment="1" applyProtection="1">
      <alignment horizontal="center"/>
      <protection locked="0"/>
    </xf>
    <xf numFmtId="0" fontId="85" fillId="8" borderId="22" xfId="0" applyFont="1" applyFill="1" applyBorder="1" applyAlignment="1" applyProtection="1">
      <alignment horizontal="center"/>
      <protection locked="0"/>
    </xf>
    <xf numFmtId="0" fontId="85" fillId="8" borderId="39" xfId="0" applyFont="1" applyFill="1" applyBorder="1" applyAlignment="1" applyProtection="1">
      <alignment horizontal="center"/>
      <protection locked="0"/>
    </xf>
    <xf numFmtId="167" fontId="85" fillId="11" borderId="74" xfId="0" applyNumberFormat="1" applyFont="1" applyFill="1" applyBorder="1" applyAlignment="1" applyProtection="1">
      <alignment horizontal="center"/>
    </xf>
    <xf numFmtId="167" fontId="85" fillId="11" borderId="94" xfId="0" applyNumberFormat="1" applyFont="1" applyFill="1" applyBorder="1" applyAlignment="1" applyProtection="1">
      <alignment horizontal="center"/>
    </xf>
    <xf numFmtId="167" fontId="85" fillId="11" borderId="75" xfId="0" applyNumberFormat="1" applyFont="1" applyFill="1" applyBorder="1" applyAlignment="1" applyProtection="1">
      <alignment horizontal="center"/>
    </xf>
    <xf numFmtId="0" fontId="86" fillId="11" borderId="40" xfId="0" applyFont="1" applyFill="1" applyBorder="1" applyAlignment="1">
      <alignment horizontal="left" wrapText="1"/>
    </xf>
    <xf numFmtId="0" fontId="86" fillId="11" borderId="35" xfId="0" applyFont="1" applyFill="1" applyBorder="1" applyAlignment="1">
      <alignment horizontal="left" wrapText="1"/>
    </xf>
    <xf numFmtId="0" fontId="86" fillId="11" borderId="45" xfId="0" applyFont="1" applyFill="1" applyBorder="1" applyAlignment="1">
      <alignment horizontal="left" wrapText="1"/>
    </xf>
    <xf numFmtId="0" fontId="86" fillId="11" borderId="14" xfId="0" applyFont="1" applyFill="1" applyBorder="1" applyAlignment="1">
      <alignment horizontal="left" wrapText="1"/>
    </xf>
    <xf numFmtId="2" fontId="87" fillId="11" borderId="35" xfId="0" applyNumberFormat="1" applyFont="1" applyFill="1" applyBorder="1" applyAlignment="1">
      <alignment horizontal="center"/>
    </xf>
    <xf numFmtId="2" fontId="87" fillId="11" borderId="36" xfId="0" applyNumberFormat="1" applyFont="1" applyFill="1" applyBorder="1" applyAlignment="1">
      <alignment horizontal="center"/>
    </xf>
    <xf numFmtId="2" fontId="87" fillId="11" borderId="14" xfId="0" applyNumberFormat="1" applyFont="1" applyFill="1" applyBorder="1" applyAlignment="1">
      <alignment horizontal="center"/>
    </xf>
    <xf numFmtId="2" fontId="87" fillId="11" borderId="38" xfId="0" applyNumberFormat="1" applyFont="1" applyFill="1" applyBorder="1" applyAlignment="1">
      <alignment horizontal="center"/>
    </xf>
    <xf numFmtId="0" fontId="90" fillId="11" borderId="44" xfId="0" applyFont="1" applyFill="1" applyBorder="1" applyAlignment="1">
      <alignment horizontal="left"/>
    </xf>
    <xf numFmtId="0" fontId="90" fillId="11" borderId="22" xfId="0" applyFont="1" applyFill="1" applyBorder="1" applyAlignment="1">
      <alignment horizontal="left"/>
    </xf>
    <xf numFmtId="0" fontId="90" fillId="11" borderId="53" xfId="0" applyFont="1" applyFill="1" applyBorder="1" applyAlignment="1">
      <alignment horizontal="left"/>
    </xf>
    <xf numFmtId="49" fontId="1" fillId="8" borderId="22" xfId="0" applyNumberFormat="1" applyFont="1" applyFill="1" applyBorder="1" applyAlignment="1">
      <alignment horizontal="center"/>
    </xf>
    <xf numFmtId="49" fontId="3" fillId="8" borderId="22" xfId="0" applyNumberFormat="1" applyFont="1" applyFill="1" applyBorder="1" applyAlignment="1">
      <alignment horizontal="center"/>
    </xf>
    <xf numFmtId="49" fontId="3" fillId="8" borderId="39" xfId="0" applyNumberFormat="1" applyFont="1" applyFill="1" applyBorder="1" applyAlignment="1">
      <alignment horizontal="center"/>
    </xf>
    <xf numFmtId="0" fontId="85" fillId="12" borderId="60" xfId="0" applyFont="1" applyFill="1" applyBorder="1" applyAlignment="1">
      <alignment horizontal="left" vertical="center" wrapText="1"/>
    </xf>
    <xf numFmtId="0" fontId="85" fillId="12" borderId="25" xfId="0" applyFont="1" applyFill="1" applyBorder="1" applyAlignment="1">
      <alignment horizontal="left" vertical="center" wrapText="1"/>
    </xf>
    <xf numFmtId="0" fontId="85" fillId="12" borderId="55" xfId="0" applyFont="1" applyFill="1" applyBorder="1" applyAlignment="1">
      <alignment horizontal="left" vertical="center" wrapText="1"/>
    </xf>
    <xf numFmtId="0" fontId="85" fillId="12" borderId="29" xfId="0" applyFont="1" applyFill="1" applyBorder="1" applyAlignment="1">
      <alignment horizontal="left" vertical="center" wrapText="1"/>
    </xf>
    <xf numFmtId="0" fontId="85" fillId="12" borderId="0" xfId="0" applyFont="1" applyFill="1" applyBorder="1" applyAlignment="1">
      <alignment horizontal="left" vertical="center" wrapText="1"/>
    </xf>
    <xf numFmtId="0" fontId="85" fillId="12" borderId="23" xfId="0" applyFont="1" applyFill="1" applyBorder="1" applyAlignment="1">
      <alignment horizontal="left" vertical="center" wrapText="1"/>
    </xf>
    <xf numFmtId="0" fontId="85" fillId="12" borderId="42" xfId="0" applyFont="1" applyFill="1" applyBorder="1" applyAlignment="1">
      <alignment horizontal="left" vertical="center" wrapText="1"/>
    </xf>
    <xf numFmtId="0" fontId="85" fillId="12" borderId="10" xfId="0" applyFont="1" applyFill="1" applyBorder="1" applyAlignment="1">
      <alignment horizontal="left" vertical="center" wrapText="1"/>
    </xf>
    <xf numFmtId="0" fontId="85" fillId="12" borderId="57" xfId="0" applyFont="1" applyFill="1" applyBorder="1" applyAlignment="1">
      <alignment horizontal="left" vertical="center" wrapText="1"/>
    </xf>
    <xf numFmtId="0" fontId="85" fillId="12" borderId="52" xfId="0" applyFont="1" applyFill="1" applyBorder="1" applyAlignment="1" applyProtection="1">
      <alignment horizontal="center"/>
      <protection locked="0"/>
    </xf>
    <xf numFmtId="0" fontId="85" fillId="12" borderId="53" xfId="0" applyFont="1" applyFill="1" applyBorder="1" applyAlignment="1" applyProtection="1">
      <alignment horizontal="center"/>
      <protection locked="0"/>
    </xf>
    <xf numFmtId="0" fontId="85" fillId="12" borderId="39" xfId="0" applyFont="1" applyFill="1" applyBorder="1" applyAlignment="1" applyProtection="1">
      <alignment horizontal="center"/>
      <protection locked="0"/>
    </xf>
    <xf numFmtId="0" fontId="85" fillId="11" borderId="52" xfId="0" applyFont="1" applyFill="1" applyBorder="1" applyAlignment="1">
      <alignment horizontal="center"/>
    </xf>
    <xf numFmtId="0" fontId="85" fillId="11" borderId="53" xfId="0" applyFont="1" applyFill="1" applyBorder="1" applyAlignment="1">
      <alignment horizontal="center"/>
    </xf>
    <xf numFmtId="0" fontId="85" fillId="11" borderId="39" xfId="0" applyFont="1" applyFill="1" applyBorder="1" applyAlignment="1">
      <alignment horizontal="center"/>
    </xf>
    <xf numFmtId="176" fontId="85" fillId="8" borderId="52" xfId="0" applyNumberFormat="1" applyFont="1" applyFill="1" applyBorder="1" applyAlignment="1" applyProtection="1">
      <alignment horizontal="center"/>
      <protection locked="0"/>
    </xf>
    <xf numFmtId="176" fontId="85" fillId="8" borderId="53" xfId="0" applyNumberFormat="1" applyFont="1" applyFill="1" applyBorder="1" applyAlignment="1" applyProtection="1">
      <alignment horizontal="center"/>
      <protection locked="0"/>
    </xf>
    <xf numFmtId="176" fontId="85" fillId="8" borderId="39" xfId="0" applyNumberFormat="1" applyFont="1" applyFill="1" applyBorder="1" applyAlignment="1" applyProtection="1">
      <alignment horizontal="center"/>
      <protection locked="0"/>
    </xf>
    <xf numFmtId="0" fontId="0" fillId="11" borderId="40" xfId="0" applyFill="1" applyBorder="1" applyAlignment="1" applyProtection="1">
      <alignment horizontal="left" wrapText="1"/>
    </xf>
    <xf numFmtId="0" fontId="0" fillId="11" borderId="35" xfId="0" applyFill="1" applyBorder="1" applyAlignment="1" applyProtection="1">
      <alignment horizontal="left" wrapText="1"/>
    </xf>
    <xf numFmtId="0" fontId="0" fillId="11" borderId="36" xfId="0" applyFill="1" applyBorder="1" applyAlignment="1" applyProtection="1">
      <alignment horizontal="left" wrapText="1"/>
    </xf>
    <xf numFmtId="0" fontId="0" fillId="11" borderId="40" xfId="0" applyFont="1" applyFill="1" applyBorder="1" applyAlignment="1" applyProtection="1">
      <alignment horizontal="left" vertical="center"/>
      <protection locked="0"/>
    </xf>
    <xf numFmtId="0" fontId="0" fillId="11" borderId="35" xfId="0" applyFont="1" applyFill="1" applyBorder="1" applyAlignment="1" applyProtection="1">
      <alignment horizontal="left" vertical="center"/>
      <protection locked="0"/>
    </xf>
    <xf numFmtId="0" fontId="0" fillId="11" borderId="36" xfId="0" applyFont="1" applyFill="1" applyBorder="1" applyAlignment="1" applyProtection="1">
      <alignment horizontal="left" vertical="center"/>
      <protection locked="0"/>
    </xf>
    <xf numFmtId="0" fontId="0" fillId="8" borderId="35" xfId="0" applyFont="1" applyFill="1" applyBorder="1" applyAlignment="1" applyProtection="1">
      <alignment horizontal="center"/>
      <protection locked="0"/>
    </xf>
    <xf numFmtId="0" fontId="0" fillId="8" borderId="35" xfId="0" applyFill="1" applyBorder="1" applyAlignment="1" applyProtection="1">
      <alignment horizontal="center"/>
      <protection locked="0"/>
    </xf>
    <xf numFmtId="0" fontId="0" fillId="8" borderId="36" xfId="0" applyFill="1" applyBorder="1" applyAlignment="1" applyProtection="1">
      <alignment horizontal="center"/>
      <protection locked="0"/>
    </xf>
    <xf numFmtId="0" fontId="0" fillId="11" borderId="49" xfId="0" applyFont="1" applyFill="1" applyBorder="1" applyAlignment="1" applyProtection="1">
      <alignment horizontal="left"/>
    </xf>
    <xf numFmtId="0" fontId="0" fillId="11" borderId="50" xfId="0" applyFont="1" applyFill="1" applyBorder="1" applyAlignment="1" applyProtection="1">
      <alignment horizontal="left"/>
    </xf>
    <xf numFmtId="0" fontId="0" fillId="11" borderId="51" xfId="0" applyFont="1" applyFill="1" applyBorder="1" applyAlignment="1" applyProtection="1">
      <alignment horizontal="left"/>
    </xf>
    <xf numFmtId="0" fontId="18" fillId="11" borderId="49" xfId="0" applyNumberFormat="1" applyFont="1" applyFill="1" applyBorder="1" applyAlignment="1" applyProtection="1">
      <alignment horizontal="center"/>
      <protection locked="0"/>
    </xf>
    <xf numFmtId="0" fontId="18" fillId="11" borderId="50" xfId="0" applyNumberFormat="1" applyFont="1" applyFill="1" applyBorder="1" applyAlignment="1" applyProtection="1">
      <alignment horizontal="center"/>
      <protection locked="0"/>
    </xf>
    <xf numFmtId="0" fontId="18" fillId="11" borderId="51" xfId="0" applyNumberFormat="1" applyFont="1" applyFill="1" applyBorder="1" applyAlignment="1" applyProtection="1">
      <alignment horizontal="center"/>
      <protection locked="0"/>
    </xf>
    <xf numFmtId="0" fontId="18" fillId="12" borderId="44" xfId="0" applyFont="1" applyFill="1" applyBorder="1" applyAlignment="1" applyProtection="1">
      <alignment horizontal="left"/>
      <protection locked="0"/>
    </xf>
    <xf numFmtId="0" fontId="18" fillId="12" borderId="22" xfId="0" applyFont="1" applyFill="1" applyBorder="1" applyAlignment="1" applyProtection="1">
      <alignment horizontal="left"/>
      <protection locked="0"/>
    </xf>
    <xf numFmtId="0" fontId="18" fillId="12" borderId="53" xfId="0" applyFont="1" applyFill="1" applyBorder="1" applyAlignment="1" applyProtection="1">
      <alignment horizontal="left"/>
      <protection locked="0"/>
    </xf>
    <xf numFmtId="0" fontId="0" fillId="11" borderId="64" xfId="0" applyFont="1" applyFill="1" applyBorder="1" applyAlignment="1" applyProtection="1">
      <alignment horizontal="left" wrapText="1"/>
    </xf>
    <xf numFmtId="0" fontId="0" fillId="11" borderId="2" xfId="0" applyFont="1" applyFill="1" applyBorder="1" applyAlignment="1" applyProtection="1">
      <alignment horizontal="left" wrapText="1"/>
    </xf>
    <xf numFmtId="0" fontId="0" fillId="11" borderId="77" xfId="0" applyFont="1" applyFill="1" applyBorder="1" applyAlignment="1" applyProtection="1">
      <alignment horizontal="left" wrapText="1"/>
    </xf>
    <xf numFmtId="0" fontId="9" fillId="11" borderId="46" xfId="0" applyFont="1" applyFill="1" applyBorder="1" applyAlignment="1" applyProtection="1">
      <alignment horizontal="center"/>
    </xf>
    <xf numFmtId="0" fontId="0" fillId="11" borderId="46" xfId="0" applyFill="1" applyBorder="1" applyAlignment="1" applyProtection="1">
      <alignment horizontal="center"/>
    </xf>
    <xf numFmtId="0" fontId="0" fillId="11" borderId="13" xfId="0" applyFill="1" applyBorder="1" applyAlignment="1" applyProtection="1">
      <alignment horizontal="center"/>
    </xf>
    <xf numFmtId="0" fontId="18" fillId="12" borderId="97" xfId="0" applyFont="1" applyFill="1" applyBorder="1" applyAlignment="1" applyProtection="1">
      <alignment horizontal="left"/>
      <protection locked="0"/>
    </xf>
    <xf numFmtId="0" fontId="18" fillId="12" borderId="94" xfId="0" applyFont="1" applyFill="1" applyBorder="1" applyAlignment="1" applyProtection="1">
      <alignment horizontal="left"/>
      <protection locked="0"/>
    </xf>
    <xf numFmtId="0" fontId="18" fillId="12" borderId="98" xfId="0" applyFont="1" applyFill="1" applyBorder="1" applyAlignment="1" applyProtection="1">
      <alignment horizontal="left"/>
      <protection locked="0"/>
    </xf>
    <xf numFmtId="0" fontId="9" fillId="11" borderId="3" xfId="0" applyFont="1" applyFill="1" applyBorder="1" applyAlignment="1" applyProtection="1">
      <alignment horizontal="center"/>
    </xf>
    <xf numFmtId="0" fontId="0" fillId="11" borderId="3" xfId="0" applyFill="1" applyBorder="1" applyAlignment="1" applyProtection="1">
      <alignment horizontal="center"/>
    </xf>
    <xf numFmtId="0" fontId="0" fillId="11" borderId="41" xfId="0" applyFill="1" applyBorder="1" applyAlignment="1" applyProtection="1">
      <alignment horizontal="center"/>
    </xf>
    <xf numFmtId="0" fontId="0" fillId="11" borderId="45" xfId="0" applyFont="1" applyFill="1" applyBorder="1" applyAlignment="1" applyProtection="1">
      <alignment horizontal="left" vertical="center"/>
      <protection locked="0"/>
    </xf>
    <xf numFmtId="0" fontId="0" fillId="11" borderId="14" xfId="0" applyFont="1" applyFill="1" applyBorder="1" applyAlignment="1" applyProtection="1">
      <alignment horizontal="left" vertical="center"/>
      <protection locked="0"/>
    </xf>
    <xf numFmtId="0" fontId="0" fillId="11" borderId="38" xfId="0" applyFont="1" applyFill="1" applyBorder="1" applyAlignment="1" applyProtection="1">
      <alignment horizontal="left" vertical="center"/>
      <protection locked="0"/>
    </xf>
    <xf numFmtId="0" fontId="0" fillId="11" borderId="44" xfId="0" applyFont="1" applyFill="1" applyBorder="1" applyAlignment="1" applyProtection="1">
      <alignment horizontal="left" wrapText="1"/>
    </xf>
    <xf numFmtId="0" fontId="0" fillId="11" borderId="22" xfId="0" applyFont="1" applyFill="1" applyBorder="1" applyAlignment="1" applyProtection="1">
      <alignment horizontal="left" wrapText="1"/>
    </xf>
    <xf numFmtId="0" fontId="0" fillId="11" borderId="53" xfId="0" applyFont="1" applyFill="1" applyBorder="1" applyAlignment="1" applyProtection="1">
      <alignment horizontal="left" wrapText="1"/>
    </xf>
    <xf numFmtId="0" fontId="9" fillId="11" borderId="52" xfId="0" applyFont="1" applyFill="1" applyBorder="1" applyAlignment="1" applyProtection="1">
      <alignment horizontal="center"/>
    </xf>
    <xf numFmtId="0" fontId="0" fillId="11" borderId="22" xfId="0" applyFill="1" applyBorder="1" applyAlignment="1" applyProtection="1">
      <alignment horizontal="center"/>
    </xf>
    <xf numFmtId="0" fontId="0" fillId="11" borderId="39" xfId="0" applyFill="1" applyBorder="1" applyAlignment="1" applyProtection="1">
      <alignment horizontal="center"/>
    </xf>
    <xf numFmtId="0" fontId="0" fillId="8" borderId="40" xfId="0" applyFont="1" applyFill="1" applyBorder="1" applyAlignment="1" applyProtection="1">
      <alignment horizontal="center"/>
      <protection locked="0"/>
    </xf>
    <xf numFmtId="0" fontId="9" fillId="11" borderId="12" xfId="0" applyFont="1" applyFill="1" applyBorder="1" applyAlignment="1" applyProtection="1">
      <alignment horizontal="center"/>
    </xf>
    <xf numFmtId="0" fontId="0" fillId="11" borderId="2" xfId="0" applyFill="1" applyBorder="1" applyAlignment="1" applyProtection="1">
      <alignment horizontal="center"/>
    </xf>
    <xf numFmtId="0" fontId="0" fillId="11" borderId="47" xfId="0" applyFill="1" applyBorder="1" applyAlignment="1" applyProtection="1">
      <alignment horizontal="center"/>
    </xf>
    <xf numFmtId="0" fontId="0" fillId="11" borderId="64" xfId="0" applyFont="1" applyFill="1" applyBorder="1" applyAlignment="1" applyProtection="1">
      <alignment horizontal="center" wrapText="1"/>
    </xf>
    <xf numFmtId="0" fontId="0" fillId="11" borderId="2" xfId="0" applyFont="1" applyFill="1" applyBorder="1" applyAlignment="1" applyProtection="1">
      <alignment horizontal="center" wrapText="1"/>
    </xf>
    <xf numFmtId="0" fontId="0" fillId="11" borderId="77" xfId="0" applyFont="1" applyFill="1" applyBorder="1" applyAlignment="1" applyProtection="1">
      <alignment horizontal="center" wrapText="1"/>
    </xf>
    <xf numFmtId="0" fontId="0" fillId="11" borderId="79" xfId="0" applyFont="1" applyFill="1" applyBorder="1" applyAlignment="1" applyProtection="1">
      <alignment horizontal="left" wrapText="1"/>
    </xf>
    <xf numFmtId="0" fontId="0" fillId="11" borderId="46" xfId="0" applyFont="1" applyFill="1" applyBorder="1" applyAlignment="1" applyProtection="1">
      <alignment horizontal="left"/>
    </xf>
    <xf numFmtId="0" fontId="0" fillId="11" borderId="45" xfId="0" applyFont="1" applyFill="1" applyBorder="1" applyAlignment="1" applyProtection="1">
      <alignment horizontal="left"/>
    </xf>
    <xf numFmtId="0" fontId="0" fillId="11" borderId="14" xfId="0" applyFont="1" applyFill="1" applyBorder="1" applyAlignment="1" applyProtection="1">
      <alignment horizontal="left"/>
    </xf>
    <xf numFmtId="0" fontId="0" fillId="11" borderId="38" xfId="0" applyFont="1" applyFill="1" applyBorder="1" applyAlignment="1" applyProtection="1">
      <alignment horizontal="left"/>
    </xf>
    <xf numFmtId="0" fontId="0" fillId="11" borderId="95" xfId="0" applyFont="1" applyFill="1" applyBorder="1" applyAlignment="1" applyProtection="1">
      <alignment horizontal="left" wrapText="1"/>
    </xf>
    <xf numFmtId="0" fontId="0" fillId="11" borderId="3" xfId="0" applyFont="1" applyFill="1" applyBorder="1" applyAlignment="1" applyProtection="1">
      <alignment horizontal="left"/>
    </xf>
    <xf numFmtId="0" fontId="0" fillId="11" borderId="64" xfId="0" applyFill="1" applyBorder="1" applyAlignment="1" applyProtection="1">
      <alignment horizontal="center" wrapText="1"/>
    </xf>
    <xf numFmtId="0" fontId="0" fillId="11" borderId="47" xfId="0" applyFill="1" applyBorder="1" applyAlignment="1" applyProtection="1">
      <alignment horizontal="center" wrapText="1"/>
    </xf>
    <xf numFmtId="0" fontId="0" fillId="11" borderId="95" xfId="0" applyFill="1" applyBorder="1" applyAlignment="1" applyProtection="1">
      <alignment horizontal="center" wrapText="1"/>
    </xf>
    <xf numFmtId="0" fontId="0" fillId="11" borderId="41" xfId="0" applyFill="1" applyBorder="1" applyAlignment="1" applyProtection="1">
      <alignment horizontal="center" wrapText="1"/>
    </xf>
    <xf numFmtId="0" fontId="0" fillId="12" borderId="95" xfId="0" applyNumberFormat="1" applyFill="1" applyBorder="1" applyAlignment="1" applyProtection="1">
      <alignment horizontal="center"/>
    </xf>
    <xf numFmtId="0" fontId="0" fillId="12" borderId="41" xfId="0" applyNumberFormat="1" applyFill="1" applyBorder="1" applyAlignment="1" applyProtection="1">
      <alignment horizontal="center"/>
    </xf>
    <xf numFmtId="2" fontId="0" fillId="12" borderId="80" xfId="0" applyNumberFormat="1" applyFill="1" applyBorder="1" applyAlignment="1" applyProtection="1">
      <alignment horizontal="center"/>
    </xf>
    <xf numFmtId="2" fontId="0" fillId="12" borderId="82" xfId="0" applyNumberFormat="1" applyFill="1" applyBorder="1" applyAlignment="1" applyProtection="1">
      <alignment horizontal="center"/>
    </xf>
    <xf numFmtId="0" fontId="98" fillId="22" borderId="49" xfId="0" applyFont="1" applyFill="1" applyBorder="1" applyAlignment="1">
      <alignment horizontal="left" wrapText="1"/>
    </xf>
    <xf numFmtId="0" fontId="98" fillId="22" borderId="50" xfId="0" applyFont="1" applyFill="1" applyBorder="1" applyAlignment="1">
      <alignment horizontal="left" wrapText="1"/>
    </xf>
    <xf numFmtId="0" fontId="98" fillId="22" borderId="51" xfId="0" applyFont="1" applyFill="1" applyBorder="1" applyAlignment="1">
      <alignment horizontal="left" wrapText="1"/>
    </xf>
    <xf numFmtId="0" fontId="0" fillId="11" borderId="49" xfId="0" applyFont="1" applyFill="1" applyBorder="1" applyAlignment="1" applyProtection="1">
      <alignment horizontal="left" wrapText="1"/>
      <protection locked="0"/>
    </xf>
    <xf numFmtId="0" fontId="0" fillId="11" borderId="50" xfId="0" applyFont="1" applyFill="1" applyBorder="1" applyAlignment="1" applyProtection="1">
      <alignment horizontal="left" wrapText="1"/>
      <protection locked="0"/>
    </xf>
    <xf numFmtId="0" fontId="0" fillId="11" borderId="51" xfId="0" applyFont="1" applyFill="1" applyBorder="1" applyAlignment="1" applyProtection="1">
      <alignment horizontal="left" wrapText="1"/>
      <protection locked="0"/>
    </xf>
    <xf numFmtId="0" fontId="81" fillId="32" borderId="101" xfId="0" applyFont="1" applyFill="1" applyBorder="1" applyAlignment="1" applyProtection="1">
      <alignment horizontal="center"/>
      <protection locked="0"/>
    </xf>
    <xf numFmtId="0" fontId="81" fillId="32" borderId="35" xfId="0" applyFont="1" applyFill="1" applyBorder="1" applyAlignment="1" applyProtection="1">
      <alignment horizontal="center"/>
      <protection locked="0"/>
    </xf>
    <xf numFmtId="0" fontId="81" fillId="32" borderId="36" xfId="0" applyFont="1" applyFill="1" applyBorder="1" applyAlignment="1" applyProtection="1">
      <alignment horizontal="center"/>
      <protection locked="0"/>
    </xf>
    <xf numFmtId="0" fontId="85" fillId="0" borderId="95" xfId="0" applyFont="1" applyFill="1" applyBorder="1" applyAlignment="1">
      <alignment horizontal="left"/>
    </xf>
    <xf numFmtId="0" fontId="85" fillId="0" borderId="3" xfId="0" applyFont="1" applyFill="1" applyBorder="1" applyAlignment="1">
      <alignment horizontal="left"/>
    </xf>
    <xf numFmtId="0" fontId="85" fillId="0" borderId="41" xfId="0" applyFont="1" applyFill="1" applyBorder="1" applyAlignment="1">
      <alignment horizontal="left"/>
    </xf>
    <xf numFmtId="0" fontId="85" fillId="0" borderId="44" xfId="0" applyFont="1" applyFill="1" applyBorder="1" applyAlignment="1" applyProtection="1">
      <alignment horizontal="center"/>
      <protection locked="0"/>
    </xf>
    <xf numFmtId="0" fontId="85" fillId="0" borderId="22" xfId="0" applyFont="1" applyFill="1" applyBorder="1" applyAlignment="1" applyProtection="1">
      <alignment horizontal="center"/>
      <protection locked="0"/>
    </xf>
    <xf numFmtId="0" fontId="85" fillId="0" borderId="39" xfId="0" applyFont="1" applyFill="1" applyBorder="1" applyAlignment="1" applyProtection="1">
      <alignment horizontal="center"/>
      <protection locked="0"/>
    </xf>
    <xf numFmtId="0" fontId="91" fillId="0" borderId="79" xfId="0" applyFont="1" applyFill="1" applyBorder="1" applyAlignment="1">
      <alignment horizontal="left"/>
    </xf>
    <xf numFmtId="0" fontId="91" fillId="0" borderId="46" xfId="0" applyFont="1" applyFill="1" applyBorder="1" applyAlignment="1">
      <alignment horizontal="left"/>
    </xf>
    <xf numFmtId="0" fontId="91" fillId="0" borderId="13" xfId="0" applyFont="1" applyFill="1" applyBorder="1" applyAlignment="1">
      <alignment horizontal="left"/>
    </xf>
    <xf numFmtId="49" fontId="3" fillId="0" borderId="64"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47" xfId="0" applyNumberFormat="1" applyFont="1" applyFill="1" applyBorder="1" applyAlignment="1">
      <alignment horizontal="center"/>
    </xf>
    <xf numFmtId="0" fontId="96" fillId="0" borderId="80" xfId="0" applyFont="1" applyFill="1" applyBorder="1" applyAlignment="1">
      <alignment horizontal="left" wrapText="1"/>
    </xf>
    <xf numFmtId="0" fontId="96" fillId="0" borderId="81" xfId="0" applyFont="1" applyFill="1" applyBorder="1" applyAlignment="1">
      <alignment horizontal="left" wrapText="1"/>
    </xf>
    <xf numFmtId="0" fontId="96" fillId="0" borderId="82" xfId="0" applyFont="1" applyFill="1" applyBorder="1" applyAlignment="1">
      <alignment horizontal="left" wrapText="1"/>
    </xf>
    <xf numFmtId="2" fontId="74" fillId="0" borderId="80" xfId="0" applyNumberFormat="1" applyFont="1" applyFill="1" applyBorder="1" applyAlignment="1">
      <alignment horizontal="center"/>
    </xf>
    <xf numFmtId="2" fontId="74" fillId="0" borderId="81" xfId="0" applyNumberFormat="1" applyFont="1" applyFill="1" applyBorder="1" applyAlignment="1">
      <alignment horizontal="center"/>
    </xf>
    <xf numFmtId="2" fontId="74" fillId="0" borderId="82" xfId="0" applyNumberFormat="1" applyFont="1" applyFill="1" applyBorder="1" applyAlignment="1">
      <alignment horizontal="center"/>
    </xf>
    <xf numFmtId="0" fontId="85" fillId="0" borderId="60" xfId="0" applyFont="1" applyFill="1" applyBorder="1" applyAlignment="1">
      <alignment horizontal="left" vertical="center" wrapText="1"/>
    </xf>
    <xf numFmtId="0" fontId="85" fillId="0" borderId="25" xfId="0" applyFont="1" applyFill="1" applyBorder="1" applyAlignment="1">
      <alignment horizontal="left" vertical="center" wrapText="1"/>
    </xf>
    <xf numFmtId="0" fontId="85" fillId="0" borderId="58" xfId="0" applyFont="1" applyFill="1" applyBorder="1" applyAlignment="1">
      <alignment horizontal="left" vertical="center" wrapText="1"/>
    </xf>
    <xf numFmtId="0" fontId="85" fillId="0" borderId="29" xfId="0" applyFont="1" applyFill="1" applyBorder="1" applyAlignment="1">
      <alignment horizontal="left" vertical="center" wrapText="1"/>
    </xf>
    <xf numFmtId="0" fontId="85" fillId="0" borderId="0" xfId="0" applyFont="1" applyFill="1" applyBorder="1" applyAlignment="1">
      <alignment horizontal="left" vertical="center" wrapText="1"/>
    </xf>
    <xf numFmtId="0" fontId="85" fillId="0" borderId="37" xfId="0" applyFont="1" applyFill="1" applyBorder="1" applyAlignment="1">
      <alignment horizontal="left" vertical="center" wrapText="1"/>
    </xf>
    <xf numFmtId="0" fontId="85" fillId="0" borderId="42" xfId="0" applyFont="1" applyFill="1" applyBorder="1" applyAlignment="1">
      <alignment horizontal="left" vertical="center" wrapText="1"/>
    </xf>
    <xf numFmtId="0" fontId="85" fillId="0" borderId="10" xfId="0" applyFont="1" applyFill="1" applyBorder="1" applyAlignment="1">
      <alignment horizontal="left" vertical="center" wrapText="1"/>
    </xf>
    <xf numFmtId="0" fontId="85" fillId="0" borderId="9" xfId="0" applyFont="1" applyFill="1" applyBorder="1" applyAlignment="1">
      <alignment horizontal="left" vertical="center" wrapText="1"/>
    </xf>
    <xf numFmtId="176" fontId="85" fillId="0" borderId="44" xfId="0" applyNumberFormat="1" applyFont="1" applyFill="1" applyBorder="1" applyAlignment="1" applyProtection="1">
      <alignment horizontal="center"/>
      <protection locked="0"/>
    </xf>
    <xf numFmtId="176" fontId="85" fillId="0" borderId="53" xfId="0" applyNumberFormat="1" applyFont="1" applyFill="1" applyBorder="1" applyAlignment="1" applyProtection="1">
      <alignment horizontal="center"/>
      <protection locked="0"/>
    </xf>
    <xf numFmtId="176" fontId="85" fillId="0" borderId="52" xfId="0" applyNumberFormat="1" applyFont="1" applyFill="1" applyBorder="1" applyAlignment="1" applyProtection="1">
      <alignment horizontal="center"/>
      <protection locked="0"/>
    </xf>
    <xf numFmtId="176" fontId="85" fillId="0" borderId="39" xfId="0" applyNumberFormat="1" applyFont="1" applyFill="1" applyBorder="1" applyAlignment="1" applyProtection="1">
      <alignment horizontal="center"/>
      <protection locked="0"/>
    </xf>
    <xf numFmtId="0" fontId="85" fillId="0" borderId="16" xfId="0" applyFont="1" applyFill="1" applyBorder="1" applyAlignment="1">
      <alignment horizontal="left"/>
    </xf>
    <xf numFmtId="0" fontId="85" fillId="0" borderId="19" xfId="0" applyFont="1" applyFill="1" applyBorder="1" applyAlignment="1">
      <alignment horizontal="left"/>
    </xf>
    <xf numFmtId="0" fontId="85" fillId="0" borderId="15" xfId="0" applyFont="1" applyFill="1" applyBorder="1" applyAlignment="1">
      <alignment horizontal="left"/>
    </xf>
    <xf numFmtId="167" fontId="85" fillId="0" borderId="60" xfId="0" applyNumberFormat="1" applyFont="1" applyFill="1" applyBorder="1" applyAlignment="1" applyProtection="1">
      <alignment horizontal="center"/>
      <protection locked="0"/>
    </xf>
    <xf numFmtId="167" fontId="85" fillId="0" borderId="25" xfId="0" applyNumberFormat="1" applyFont="1" applyFill="1" applyBorder="1" applyAlignment="1" applyProtection="1">
      <alignment horizontal="center"/>
      <protection locked="0"/>
    </xf>
    <xf numFmtId="167" fontId="85" fillId="0" borderId="58" xfId="0" applyNumberFormat="1" applyFont="1" applyFill="1" applyBorder="1" applyAlignment="1" applyProtection="1">
      <alignment horizontal="center"/>
      <protection locked="0"/>
    </xf>
    <xf numFmtId="0" fontId="85" fillId="0" borderId="60" xfId="0" applyFont="1" applyFill="1" applyBorder="1" applyAlignment="1" applyProtection="1">
      <alignment horizontal="center"/>
      <protection locked="0"/>
    </xf>
    <xf numFmtId="0" fontId="85" fillId="0" borderId="55" xfId="0" applyFont="1" applyFill="1" applyBorder="1" applyAlignment="1" applyProtection="1">
      <alignment horizontal="center"/>
      <protection locked="0"/>
    </xf>
    <xf numFmtId="0" fontId="85" fillId="0" borderId="42" xfId="0" applyFont="1" applyFill="1" applyBorder="1" applyAlignment="1" applyProtection="1">
      <alignment horizontal="center"/>
      <protection locked="0"/>
    </xf>
    <xf numFmtId="0" fontId="85" fillId="0" borderId="57" xfId="0" applyFont="1" applyFill="1" applyBorder="1" applyAlignment="1" applyProtection="1">
      <alignment horizontal="center"/>
      <protection locked="0"/>
    </xf>
    <xf numFmtId="0" fontId="85" fillId="0" borderId="54" xfId="0" applyFont="1" applyFill="1" applyBorder="1" applyAlignment="1" applyProtection="1">
      <alignment horizontal="center"/>
      <protection locked="0"/>
    </xf>
    <xf numFmtId="0" fontId="85" fillId="0" borderId="58" xfId="0" applyFont="1" applyFill="1" applyBorder="1" applyAlignment="1" applyProtection="1">
      <alignment horizontal="center"/>
      <protection locked="0"/>
    </xf>
    <xf numFmtId="0" fontId="85" fillId="0" borderId="56" xfId="0" applyFont="1" applyFill="1" applyBorder="1" applyAlignment="1" applyProtection="1">
      <alignment horizontal="center"/>
      <protection locked="0"/>
    </xf>
    <xf numFmtId="0" fontId="85" fillId="0" borderId="9" xfId="0" applyFont="1" applyFill="1" applyBorder="1" applyAlignment="1" applyProtection="1">
      <alignment horizontal="center"/>
      <protection locked="0"/>
    </xf>
    <xf numFmtId="0" fontId="75" fillId="11" borderId="107" xfId="16" applyFont="1" applyFill="1" applyBorder="1" applyAlignment="1">
      <alignment horizontal="left" vertical="center"/>
    </xf>
    <xf numFmtId="0" fontId="75" fillId="11" borderId="108" xfId="16" applyFont="1" applyFill="1" applyBorder="1" applyAlignment="1">
      <alignment horizontal="left" vertical="center"/>
    </xf>
    <xf numFmtId="0" fontId="75" fillId="11" borderId="109" xfId="16" applyFont="1" applyFill="1" applyBorder="1" applyAlignment="1">
      <alignment horizontal="left" vertical="center"/>
    </xf>
    <xf numFmtId="0" fontId="87" fillId="11" borderId="49" xfId="16" applyFont="1" applyFill="1" applyBorder="1" applyAlignment="1">
      <alignment horizontal="center" vertical="center"/>
    </xf>
    <xf numFmtId="0" fontId="87" fillId="11" borderId="50" xfId="16" applyFont="1" applyFill="1" applyBorder="1" applyAlignment="1">
      <alignment horizontal="center" vertical="center"/>
    </xf>
    <xf numFmtId="0" fontId="87" fillId="11" borderId="51" xfId="16" applyFont="1" applyFill="1" applyBorder="1" applyAlignment="1">
      <alignment horizontal="center" vertical="center"/>
    </xf>
    <xf numFmtId="0" fontId="87" fillId="11" borderId="40" xfId="16" applyFont="1" applyFill="1" applyBorder="1" applyAlignment="1">
      <alignment horizontal="center" vertical="center"/>
    </xf>
    <xf numFmtId="0" fontId="87" fillId="11" borderId="35" xfId="16" applyFont="1" applyFill="1" applyBorder="1" applyAlignment="1">
      <alignment horizontal="center" vertical="center"/>
    </xf>
    <xf numFmtId="0" fontId="87" fillId="11" borderId="36" xfId="16" applyFont="1" applyFill="1" applyBorder="1" applyAlignment="1">
      <alignment horizontal="center" vertical="center"/>
    </xf>
    <xf numFmtId="0" fontId="74" fillId="0" borderId="10" xfId="16" applyFont="1" applyFill="1" applyBorder="1" applyAlignment="1">
      <alignment horizontal="left" vertical="center"/>
    </xf>
    <xf numFmtId="0" fontId="74" fillId="0" borderId="25" xfId="16" applyFont="1" applyFill="1" applyBorder="1" applyAlignment="1">
      <alignment horizontal="left" vertical="center"/>
    </xf>
    <xf numFmtId="0" fontId="97" fillId="6" borderId="94" xfId="16" applyFont="1" applyFill="1" applyBorder="1" applyAlignment="1">
      <alignment horizontal="left" vertical="center"/>
    </xf>
    <xf numFmtId="0" fontId="97" fillId="6" borderId="105" xfId="16" applyFont="1" applyFill="1" applyBorder="1" applyAlignment="1">
      <alignment horizontal="left" vertical="center"/>
    </xf>
    <xf numFmtId="0" fontId="13" fillId="11" borderId="40" xfId="0" applyFont="1" applyFill="1" applyBorder="1" applyAlignment="1">
      <alignment horizontal="left" vertical="center" wrapText="1"/>
    </xf>
    <xf numFmtId="0" fontId="13" fillId="11" borderId="35" xfId="0" applyFont="1" applyFill="1" applyBorder="1" applyAlignment="1">
      <alignment horizontal="left" vertical="center" wrapText="1"/>
    </xf>
    <xf numFmtId="0" fontId="13" fillId="11" borderId="36" xfId="0" applyFont="1" applyFill="1" applyBorder="1" applyAlignment="1">
      <alignment horizontal="left" vertical="center" wrapText="1"/>
    </xf>
    <xf numFmtId="0" fontId="13" fillId="11" borderId="29" xfId="0" applyFont="1" applyFill="1" applyBorder="1" applyAlignment="1">
      <alignment horizontal="left" vertical="center" wrapText="1"/>
    </xf>
    <xf numFmtId="0" fontId="13" fillId="11" borderId="0" xfId="0" applyFont="1" applyFill="1" applyAlignment="1">
      <alignment horizontal="left" vertical="center" wrapText="1"/>
    </xf>
    <xf numFmtId="0" fontId="13" fillId="11" borderId="37" xfId="0" applyFont="1" applyFill="1" applyBorder="1" applyAlignment="1">
      <alignment horizontal="left" vertical="center" wrapText="1"/>
    </xf>
    <xf numFmtId="0" fontId="13" fillId="11" borderId="45" xfId="0" applyFont="1" applyFill="1" applyBorder="1" applyAlignment="1">
      <alignment horizontal="left" vertical="center" wrapText="1"/>
    </xf>
    <xf numFmtId="0" fontId="13" fillId="11" borderId="14" xfId="0" applyFont="1" applyFill="1" applyBorder="1" applyAlignment="1">
      <alignment horizontal="left" vertical="center" wrapText="1"/>
    </xf>
    <xf numFmtId="0" fontId="13" fillId="11" borderId="38" xfId="0" applyFont="1" applyFill="1" applyBorder="1" applyAlignment="1">
      <alignment horizontal="left" vertical="center" wrapText="1"/>
    </xf>
    <xf numFmtId="0" fontId="91" fillId="4" borderId="0" xfId="0" applyFont="1" applyFill="1" applyBorder="1" applyAlignment="1" applyProtection="1">
      <alignment horizontal="left"/>
      <protection locked="0"/>
    </xf>
    <xf numFmtId="0" fontId="91" fillId="5" borderId="0" xfId="0" applyFont="1" applyFill="1" applyBorder="1" applyAlignment="1" applyProtection="1">
      <alignment horizontal="left"/>
      <protection locked="0"/>
    </xf>
    <xf numFmtId="0" fontId="74" fillId="11" borderId="45" xfId="16" applyFont="1" applyFill="1" applyBorder="1" applyAlignment="1">
      <alignment horizontal="center" vertical="center"/>
    </xf>
    <xf numFmtId="0" fontId="74" fillId="11" borderId="14" xfId="16" applyFont="1" applyFill="1" applyBorder="1" applyAlignment="1">
      <alignment horizontal="center" vertical="center"/>
    </xf>
    <xf numFmtId="0" fontId="74" fillId="11" borderId="38" xfId="16" applyFont="1" applyFill="1" applyBorder="1" applyAlignment="1">
      <alignment horizontal="center" vertical="center"/>
    </xf>
    <xf numFmtId="0" fontId="91" fillId="9" borderId="0" xfId="0" applyFont="1" applyFill="1" applyBorder="1" applyAlignment="1" applyProtection="1">
      <alignment horizontal="left"/>
      <protection locked="0"/>
    </xf>
    <xf numFmtId="0" fontId="91" fillId="10" borderId="14" xfId="0" applyFont="1" applyFill="1" applyBorder="1" applyAlignment="1" applyProtection="1">
      <alignment horizontal="left"/>
      <protection locked="0"/>
    </xf>
    <xf numFmtId="0" fontId="97" fillId="6" borderId="2" xfId="15" applyFont="1" applyFill="1" applyBorder="1" applyAlignment="1">
      <alignment horizontal="left" vertical="center"/>
    </xf>
    <xf numFmtId="0" fontId="97" fillId="6" borderId="102" xfId="15" applyFont="1" applyFill="1" applyBorder="1" applyAlignment="1">
      <alignment horizontal="left" vertical="center"/>
    </xf>
    <xf numFmtId="0" fontId="97" fillId="6" borderId="22" xfId="16" applyFont="1" applyFill="1" applyBorder="1" applyAlignment="1">
      <alignment horizontal="left" vertical="center"/>
    </xf>
    <xf numFmtId="0" fontId="97" fillId="6" borderId="1" xfId="16" applyFont="1" applyFill="1" applyBorder="1" applyAlignment="1">
      <alignment horizontal="left" vertical="center"/>
    </xf>
    <xf numFmtId="0" fontId="6" fillId="6" borderId="52" xfId="0" applyFont="1" applyFill="1" applyBorder="1" applyAlignment="1" applyProtection="1">
      <alignment horizontal="center" wrapText="1"/>
    </xf>
    <xf numFmtId="0" fontId="0" fillId="6" borderId="39" xfId="0" applyFill="1" applyBorder="1" applyAlignment="1" applyProtection="1">
      <alignment horizontal="center"/>
    </xf>
    <xf numFmtId="0" fontId="9" fillId="6" borderId="44" xfId="0" applyFont="1" applyFill="1" applyBorder="1" applyAlignment="1" applyProtection="1">
      <alignment horizontal="center"/>
    </xf>
    <xf numFmtId="0" fontId="0" fillId="6" borderId="22" xfId="0" applyFill="1" applyBorder="1" applyAlignment="1" applyProtection="1">
      <alignment horizontal="center"/>
    </xf>
    <xf numFmtId="0" fontId="0" fillId="6" borderId="10" xfId="0" applyFill="1" applyBorder="1" applyAlignment="1" applyProtection="1">
      <alignment horizontal="center"/>
    </xf>
    <xf numFmtId="0" fontId="0" fillId="6" borderId="9" xfId="0" applyFill="1" applyBorder="1" applyAlignment="1" applyProtection="1">
      <alignment horizontal="center"/>
    </xf>
    <xf numFmtId="0" fontId="9" fillId="6" borderId="42" xfId="0" applyFont="1" applyFill="1" applyBorder="1" applyAlignment="1" applyProtection="1">
      <alignment horizontal="center"/>
    </xf>
    <xf numFmtId="0" fontId="9" fillId="0" borderId="40" xfId="0"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76" fillId="8" borderId="49" xfId="0" applyFont="1" applyFill="1" applyBorder="1" applyAlignment="1" applyProtection="1">
      <alignment horizontal="center"/>
      <protection locked="0"/>
    </xf>
    <xf numFmtId="0" fontId="76" fillId="8" borderId="50" xfId="0" applyFont="1" applyFill="1" applyBorder="1" applyAlignment="1" applyProtection="1">
      <alignment horizontal="center"/>
      <protection locked="0"/>
    </xf>
    <xf numFmtId="0" fontId="76" fillId="8" borderId="51" xfId="0" applyFont="1" applyFill="1" applyBorder="1" applyAlignment="1" applyProtection="1">
      <alignment horizontal="center"/>
      <protection locked="0"/>
    </xf>
    <xf numFmtId="0" fontId="6" fillId="6" borderId="49" xfId="0" applyFont="1" applyFill="1" applyBorder="1" applyAlignment="1" applyProtection="1">
      <alignment horizontal="center"/>
    </xf>
    <xf numFmtId="0" fontId="6" fillId="6" borderId="51" xfId="0" applyFont="1" applyFill="1" applyBorder="1" applyAlignment="1" applyProtection="1">
      <alignment horizontal="center"/>
    </xf>
    <xf numFmtId="0" fontId="6" fillId="13" borderId="40" xfId="0" applyFont="1" applyFill="1" applyBorder="1" applyAlignment="1" applyProtection="1">
      <alignment horizontal="center"/>
      <protection locked="0"/>
    </xf>
    <xf numFmtId="0" fontId="6" fillId="13" borderId="45" xfId="0" applyFont="1" applyFill="1" applyBorder="1" applyAlignment="1" applyProtection="1">
      <alignment horizontal="center"/>
      <protection locked="0"/>
    </xf>
    <xf numFmtId="0" fontId="6" fillId="13" borderId="36" xfId="0" applyFont="1" applyFill="1" applyBorder="1" applyAlignment="1" applyProtection="1">
      <alignment horizontal="center"/>
    </xf>
    <xf numFmtId="0" fontId="6" fillId="13" borderId="38" xfId="0" applyFont="1" applyFill="1" applyBorder="1" applyAlignment="1" applyProtection="1">
      <alignment horizontal="center"/>
    </xf>
    <xf numFmtId="0" fontId="6" fillId="31" borderId="40" xfId="0" applyFont="1" applyFill="1" applyBorder="1" applyAlignment="1" applyProtection="1">
      <alignment horizontal="center"/>
      <protection locked="0"/>
    </xf>
    <xf numFmtId="0" fontId="6" fillId="31" borderId="91" xfId="0" applyFont="1" applyFill="1" applyBorder="1" applyAlignment="1" applyProtection="1">
      <alignment horizontal="center"/>
      <protection locked="0"/>
    </xf>
    <xf numFmtId="0" fontId="6" fillId="31" borderId="36" xfId="0" applyFont="1" applyFill="1" applyBorder="1" applyAlignment="1">
      <alignment horizontal="center"/>
    </xf>
    <xf numFmtId="0" fontId="6" fillId="31" borderId="92" xfId="0" applyFont="1" applyFill="1" applyBorder="1" applyAlignment="1">
      <alignment horizontal="center"/>
    </xf>
    <xf numFmtId="0" fontId="17" fillId="8" borderId="49" xfId="0" applyFont="1" applyFill="1" applyBorder="1" applyAlignment="1" applyProtection="1">
      <alignment horizontal="center"/>
      <protection locked="0"/>
    </xf>
    <xf numFmtId="0" fontId="17" fillId="8" borderId="50" xfId="0" applyFont="1" applyFill="1" applyBorder="1" applyAlignment="1" applyProtection="1">
      <alignment horizontal="center"/>
      <protection locked="0"/>
    </xf>
    <xf numFmtId="0" fontId="17" fillId="8" borderId="93" xfId="0" applyFont="1" applyFill="1" applyBorder="1" applyAlignment="1" applyProtection="1">
      <alignment horizontal="center"/>
      <protection locked="0"/>
    </xf>
    <xf numFmtId="0" fontId="9" fillId="0" borderId="49" xfId="0" applyFont="1" applyFill="1" applyBorder="1" applyAlignment="1" applyProtection="1">
      <alignment horizontal="center"/>
    </xf>
    <xf numFmtId="0" fontId="0" fillId="0" borderId="50" xfId="0" applyBorder="1" applyAlignment="1" applyProtection="1">
      <alignment horizontal="center"/>
    </xf>
    <xf numFmtId="0" fontId="0" fillId="0" borderId="51" xfId="0" applyBorder="1" applyAlignment="1" applyProtection="1">
      <alignment horizontal="center"/>
    </xf>
    <xf numFmtId="0" fontId="6" fillId="31" borderId="45" xfId="0" applyFont="1" applyFill="1" applyBorder="1" applyAlignment="1" applyProtection="1">
      <alignment horizontal="center"/>
      <protection locked="0"/>
    </xf>
    <xf numFmtId="0" fontId="6" fillId="31" borderId="38" xfId="0" applyFont="1" applyFill="1" applyBorder="1" applyAlignment="1">
      <alignment horizontal="center"/>
    </xf>
    <xf numFmtId="0" fontId="17" fillId="8" borderId="51" xfId="0" applyFont="1" applyFill="1" applyBorder="1" applyAlignment="1" applyProtection="1">
      <alignment horizontal="center"/>
      <protection locked="0"/>
    </xf>
    <xf numFmtId="0" fontId="6" fillId="31" borderId="29" xfId="0" applyFont="1" applyFill="1" applyBorder="1" applyAlignment="1" applyProtection="1">
      <alignment horizontal="center"/>
      <protection locked="0"/>
    </xf>
    <xf numFmtId="0" fontId="6" fillId="31" borderId="37" xfId="0" applyFont="1" applyFill="1" applyBorder="1" applyAlignment="1">
      <alignment horizontal="center"/>
    </xf>
    <xf numFmtId="20" fontId="17" fillId="8" borderId="49" xfId="0" applyNumberFormat="1" applyFont="1" applyFill="1" applyBorder="1" applyAlignment="1" applyProtection="1">
      <alignment horizontal="center"/>
      <protection locked="0"/>
    </xf>
    <xf numFmtId="20" fontId="17" fillId="8" borderId="50" xfId="0" applyNumberFormat="1" applyFont="1" applyFill="1" applyBorder="1" applyAlignment="1" applyProtection="1">
      <alignment horizontal="center"/>
      <protection locked="0"/>
    </xf>
    <xf numFmtId="20" fontId="17" fillId="8" borderId="51" xfId="0" applyNumberFormat="1" applyFont="1" applyFill="1" applyBorder="1" applyAlignment="1" applyProtection="1">
      <alignment horizontal="center"/>
      <protection locked="0"/>
    </xf>
    <xf numFmtId="0" fontId="49" fillId="22" borderId="68" xfId="44" applyFont="1" applyFill="1" applyBorder="1" applyAlignment="1" applyProtection="1">
      <alignment horizontal="center"/>
      <protection locked="0"/>
    </xf>
    <xf numFmtId="0" fontId="49" fillId="22" borderId="69" xfId="44" applyFont="1" applyFill="1" applyBorder="1" applyAlignment="1" applyProtection="1">
      <alignment horizontal="center"/>
      <protection locked="0"/>
    </xf>
    <xf numFmtId="0" fontId="55" fillId="0" borderId="64" xfId="44" applyFont="1" applyBorder="1" applyAlignment="1">
      <alignment horizontal="center"/>
    </xf>
    <xf numFmtId="0" fontId="55" fillId="0" borderId="2" xfId="44" applyFont="1" applyBorder="1" applyAlignment="1">
      <alignment horizontal="center"/>
    </xf>
    <xf numFmtId="0" fontId="55" fillId="0" borderId="47" xfId="44" applyFont="1" applyBorder="1" applyAlignment="1">
      <alignment horizontal="center"/>
    </xf>
    <xf numFmtId="0" fontId="49" fillId="22" borderId="68" xfId="44" applyFont="1" applyFill="1" applyBorder="1" applyAlignment="1" applyProtection="1">
      <alignment horizontal="left"/>
      <protection locked="0"/>
    </xf>
    <xf numFmtId="0" fontId="49" fillId="22" borderId="69" xfId="44" applyFont="1" applyFill="1" applyBorder="1" applyAlignment="1" applyProtection="1">
      <alignment horizontal="left"/>
      <protection locked="0"/>
    </xf>
  </cellXfs>
  <cellStyles count="70">
    <cellStyle name="12" xfId="1" xr:uid="{00000000-0005-0000-0000-000000000000}"/>
    <cellStyle name="14" xfId="2" xr:uid="{00000000-0005-0000-0000-000001000000}"/>
    <cellStyle name="9" xfId="3" xr:uid="{00000000-0005-0000-0000-000002000000}"/>
    <cellStyle name="9 2" xfId="45" xr:uid="{00000000-0005-0000-0000-000003000000}"/>
    <cellStyle name="Besøgt link" xfId="23" builtinId="9" hidden="1"/>
    <cellStyle name="Besøgt link" xfId="25" builtinId="9" hidden="1"/>
    <cellStyle name="Besøgt link" xfId="27" builtinId="9" hidden="1"/>
    <cellStyle name="Besøgt link" xfId="29" builtinId="9" hidden="1"/>
    <cellStyle name="Besøgt link" xfId="31" builtinId="9" hidden="1"/>
    <cellStyle name="Besøgt link" xfId="33" builtinId="9" hidden="1"/>
    <cellStyle name="Besøgt link" xfId="35" builtinId="9" hidden="1"/>
    <cellStyle name="Besøgt link" xfId="37" builtinId="9" hidden="1"/>
    <cellStyle name="Besøgt link" xfId="39" builtinId="9" hidden="1"/>
    <cellStyle name="Besøgt link" xfId="41" builtinId="9" hidden="1"/>
    <cellStyle name="Besøgt link" xfId="43" builtinId="9" hidden="1"/>
    <cellStyle name="Besøgt link" xfId="51" builtinId="9" hidden="1"/>
    <cellStyle name="Besøgt link" xfId="53" builtinId="9" hidden="1"/>
    <cellStyle name="Besøgt link" xfId="55" builtinId="9" hidden="1"/>
    <cellStyle name="Besøgt link" xfId="57" builtinId="9" hidden="1"/>
    <cellStyle name="Besøgt link" xfId="59" builtinId="9" hidden="1"/>
    <cellStyle name="Besøgt link" xfId="61" builtinId="9" hidden="1"/>
    <cellStyle name="Chicago" xfId="4" xr:uid="{00000000-0005-0000-0000-000015000000}"/>
    <cellStyle name="Comma [0]_DelAktPl.xls" xfId="5" xr:uid="{00000000-0005-0000-0000-000016000000}"/>
    <cellStyle name="Comma_DelAktPl.xls" xfId="6" xr:uid="{00000000-0005-0000-0000-000017000000}"/>
    <cellStyle name="courier" xfId="7" xr:uid="{00000000-0005-0000-0000-000018000000}"/>
    <cellStyle name="Currency [0]_DelAktPl.xls" xfId="8" xr:uid="{00000000-0005-0000-0000-000019000000}"/>
    <cellStyle name="Currency_DelAktPl.xls" xfId="9" xr:uid="{00000000-0005-0000-0000-00001A000000}"/>
    <cellStyle name="Followed Hyperlink" xfId="49" xr:uid="{00000000-0005-0000-0000-00001B000000}"/>
    <cellStyle name="Komma 2" xfId="64" xr:uid="{D4F83F3F-055D-544F-9EC9-DCA3FCD99389}"/>
    <cellStyle name="Komma 3" xfId="67" xr:uid="{897F24AF-F594-874B-80CB-A6989C96779F}"/>
    <cellStyle name="Komma 4" xfId="69" xr:uid="{51585EC2-2458-1D49-8798-BBC6B93549C1}"/>
    <cellStyle name="komma0" xfId="10" xr:uid="{00000000-0005-0000-0000-00002D000000}"/>
    <cellStyle name="komma1" xfId="11" xr:uid="{00000000-0005-0000-0000-00002E000000}"/>
    <cellStyle name="komma2" xfId="12" xr:uid="{00000000-0005-0000-0000-00002F000000}"/>
    <cellStyle name="komma4" xfId="13" xr:uid="{00000000-0005-0000-0000-000030000000}"/>
    <cellStyle name="kr" xfId="14" xr:uid="{00000000-0005-0000-0000-000031000000}"/>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Normal" xfId="0" builtinId="0"/>
    <cellStyle name="Normal 2" xfId="44" xr:uid="{00000000-0005-0000-0000-000033000000}"/>
    <cellStyle name="Normal 2 2" xfId="63" xr:uid="{ECC536E0-9336-A640-9A7E-55CF0F9C02F3}"/>
    <cellStyle name="Normal 3" xfId="46" xr:uid="{00000000-0005-0000-0000-000034000000}"/>
    <cellStyle name="Normal 4" xfId="62" xr:uid="{00000000-0005-0000-0000-000035000000}"/>
    <cellStyle name="Normal 5" xfId="65" xr:uid="{F180CFC2-083A-8543-AE99-DDB5BF0E3B38}"/>
    <cellStyle name="Normal 6" xfId="66" xr:uid="{43973A4A-BB91-1C41-9D12-DAC6EDC6AA9D}"/>
    <cellStyle name="Normal 7" xfId="68" xr:uid="{6F543257-371F-074F-8B32-24F7026145D5}"/>
    <cellStyle name="Normal_Halvårskalender 1999/00" xfId="48" xr:uid="{00000000-0005-0000-0000-000036000000}"/>
    <cellStyle name="Normal_MQeks.xls2" xfId="15" xr:uid="{00000000-0005-0000-0000-000037000000}"/>
    <cellStyle name="Normal_skemaer, gule hæfte" xfId="16" xr:uid="{00000000-0005-0000-0000-000038000000}"/>
    <cellStyle name="Normal_År" xfId="47" xr:uid="{00000000-0005-0000-0000-000039000000}"/>
    <cellStyle name="prc0" xfId="17" xr:uid="{00000000-0005-0000-0000-00003A000000}"/>
    <cellStyle name="prc1" xfId="18" xr:uid="{00000000-0005-0000-0000-00003B000000}"/>
    <cellStyle name="prc2" xfId="19" xr:uid="{00000000-0005-0000-0000-00003C000000}"/>
    <cellStyle name="skkode" xfId="20" xr:uid="{00000000-0005-0000-0000-00003D000000}"/>
    <cellStyle name="skygget" xfId="21" xr:uid="{00000000-0005-0000-0000-00003E000000}"/>
  </cellStyles>
  <dxfs count="669">
    <dxf>
      <font>
        <color theme="1"/>
      </font>
      <fill>
        <patternFill>
          <bgColor theme="4" tint="0.79998168889431442"/>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fgColor auto="1"/>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theme="0" tint="-0.14996795556505021"/>
        </patternFill>
      </fill>
    </dxf>
    <dxf>
      <font>
        <color theme="1"/>
      </font>
      <fill>
        <patternFill>
          <bgColor theme="9" tint="0.39994506668294322"/>
        </patternFill>
      </fill>
    </dxf>
    <dxf>
      <font>
        <color theme="1"/>
      </font>
      <fill>
        <patternFill>
          <bgColor rgb="FFE6DFFF"/>
        </patternFill>
      </fill>
    </dxf>
    <dxf>
      <font>
        <color theme="1"/>
      </font>
      <fill>
        <patternFill>
          <bgColor theme="4" tint="0.79998168889431442"/>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59996337778862885"/>
        </patternFill>
      </fill>
    </dxf>
    <dxf>
      <font>
        <color theme="1"/>
      </font>
      <fill>
        <patternFill>
          <bgColor theme="7" tint="0.39994506668294322"/>
        </patternFill>
      </fill>
    </dxf>
    <dxf>
      <font>
        <color theme="0"/>
      </font>
      <fill>
        <patternFill>
          <bgColor theme="1"/>
        </patternFill>
      </fill>
    </dxf>
    <dxf>
      <font>
        <color theme="1"/>
      </font>
      <fill>
        <patternFill>
          <bgColor rgb="FF7A81FF"/>
        </patternFill>
      </fill>
    </dxf>
    <dxf>
      <font>
        <color rgb="FF000000"/>
      </font>
      <fill>
        <patternFill>
          <bgColor rgb="FF7030A0"/>
        </patternFill>
      </fill>
    </dxf>
    <dxf>
      <font>
        <color theme="1"/>
      </font>
      <fill>
        <patternFill>
          <bgColor rgb="FFD883FF"/>
        </patternFill>
      </fill>
    </dxf>
    <dxf>
      <font>
        <color theme="1"/>
      </font>
      <fill>
        <patternFill>
          <bgColor theme="5" tint="0.79998168889431442"/>
        </patternFill>
      </fill>
    </dxf>
    <dxf>
      <font>
        <color theme="1"/>
      </font>
      <fill>
        <patternFill>
          <fgColor auto="1"/>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1"/>
      </font>
      <fill>
        <patternFill>
          <bgColor theme="7" tint="0.39994506668294322"/>
        </patternFill>
      </fill>
    </dxf>
    <dxf>
      <font>
        <color theme="1"/>
      </font>
      <fill>
        <patternFill>
          <bgColor rgb="FFFF2F82"/>
        </patternFill>
      </fill>
    </dxf>
    <dxf>
      <font>
        <color theme="1"/>
      </font>
      <fill>
        <patternFill>
          <bgColor theme="3" tint="0.59996337778862885"/>
        </patternFill>
      </fill>
    </dxf>
    <dxf>
      <font>
        <color theme="1"/>
      </font>
      <fill>
        <patternFill>
          <bgColor rgb="FFFFFF00"/>
        </patternFill>
      </fill>
    </dxf>
    <dxf>
      <font>
        <color theme="1"/>
      </font>
      <fill>
        <patternFill patternType="none">
          <bgColor auto="1"/>
        </patternFill>
      </fill>
    </dxf>
    <dxf>
      <font>
        <color theme="1"/>
      </font>
      <fill>
        <patternFill>
          <bgColor theme="0" tint="-0.14996795556505021"/>
        </patternFill>
      </fill>
    </dxf>
    <dxf>
      <font>
        <color theme="1"/>
      </font>
      <fill>
        <patternFill>
          <bgColor theme="6" tint="0.39994506668294322"/>
        </patternFill>
      </fill>
    </dxf>
    <dxf>
      <font>
        <color theme="1"/>
      </font>
      <fill>
        <patternFill>
          <bgColor theme="9" tint="0.59996337778862885"/>
        </patternFill>
      </fill>
    </dxf>
    <dxf>
      <font>
        <color theme="1"/>
      </font>
      <fill>
        <patternFill>
          <bgColor theme="5" tint="0.59996337778862885"/>
        </patternFill>
      </fill>
    </dxf>
    <dxf>
      <font>
        <color theme="1"/>
      </font>
      <fill>
        <patternFill>
          <bgColor theme="8" tint="0.59996337778862885"/>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7" tint="0.39994506668294322"/>
        </patternFill>
      </fill>
    </dxf>
    <dxf>
      <font>
        <color theme="0"/>
      </font>
      <fill>
        <patternFill patternType="solid">
          <bgColor theme="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4" tint="0.79998168889431442"/>
        </patternFill>
      </fill>
    </dxf>
    <dxf>
      <font>
        <color theme="1"/>
      </font>
      <fill>
        <patternFill>
          <bgColor theme="0"/>
        </patternFill>
      </fill>
    </dxf>
    <dxf>
      <font>
        <color theme="1"/>
      </font>
      <fill>
        <patternFill>
          <bgColor rgb="FFD883FF"/>
        </patternFill>
      </fill>
    </dxf>
    <dxf>
      <font>
        <color theme="1"/>
      </font>
      <fill>
        <patternFill>
          <bgColor rgb="FFE6DFFF"/>
        </patternFill>
      </fill>
    </dxf>
    <dxf>
      <font>
        <color theme="1"/>
      </font>
      <fill>
        <patternFill>
          <bgColor rgb="FF7A81FF"/>
        </patternFill>
      </fill>
    </dxf>
    <dxf>
      <font>
        <color theme="1"/>
      </font>
      <fill>
        <patternFill>
          <bgColor rgb="FF7030A0"/>
        </patternFill>
      </fill>
    </dxf>
    <dxf>
      <font>
        <color theme="1"/>
      </font>
      <fill>
        <patternFill>
          <bgColor theme="0" tint="-0.1499679555650502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rgb="FFFF2F82"/>
        </patternFill>
      </fill>
    </dxf>
    <dxf>
      <font>
        <color theme="1"/>
      </font>
      <fill>
        <patternFill>
          <bgColor theme="4" tint="0.79998168889431442"/>
        </patternFill>
      </fill>
    </dxf>
    <dxf>
      <font>
        <color theme="1"/>
      </font>
      <fill>
        <patternFill>
          <bgColor theme="7" tint="0.59996337778862885"/>
        </patternFill>
      </fill>
    </dxf>
    <dxf>
      <font>
        <color theme="0"/>
      </font>
      <fill>
        <patternFill patternType="solid">
          <bgColor theme="1"/>
        </patternFill>
      </fill>
    </dxf>
    <dxf>
      <font>
        <color theme="1"/>
      </font>
      <fill>
        <patternFill>
          <bgColor theme="0" tint="-0.14996795556505021"/>
        </patternFill>
      </fill>
    </dxf>
    <dxf>
      <font>
        <color theme="1"/>
      </font>
      <fill>
        <patternFill>
          <bgColor theme="9" tint="0.79998168889431442"/>
        </patternFill>
      </fill>
    </dxf>
    <dxf>
      <font>
        <color theme="1"/>
      </font>
      <fill>
        <patternFill>
          <bgColor theme="9" tint="0.39994506668294322"/>
        </patternFill>
      </fill>
    </dxf>
    <dxf>
      <font>
        <color theme="1"/>
      </font>
      <fill>
        <patternFill>
          <bgColor rgb="FFFFC000"/>
        </patternFill>
      </fill>
    </dxf>
    <dxf>
      <font>
        <color theme="1"/>
      </font>
      <fill>
        <patternFill>
          <bgColor theme="7" tint="0.79998168889431442"/>
        </patternFill>
      </fill>
    </dxf>
    <dxf>
      <font>
        <color theme="1"/>
      </font>
      <fill>
        <patternFill>
          <bgColor theme="0"/>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solid">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rgb="FFFF2F82"/>
        </patternFill>
      </fill>
    </dxf>
    <dxf>
      <font>
        <color theme="1"/>
      </font>
      <fill>
        <patternFill>
          <bgColor theme="9" tint="0.79998168889431442"/>
        </patternFill>
      </fill>
    </dxf>
    <dxf>
      <font>
        <color theme="1"/>
      </font>
      <fill>
        <patternFill>
          <bgColor rgb="FFFFC000"/>
        </patternFill>
      </fill>
    </dxf>
    <dxf>
      <font>
        <color theme="1"/>
      </font>
      <fill>
        <patternFill>
          <bgColor rgb="FF7030A0"/>
        </patternFill>
      </fill>
    </dxf>
    <dxf>
      <font>
        <color theme="1"/>
      </font>
      <fill>
        <patternFill>
          <bgColor theme="0" tint="-0.14996795556505021"/>
        </patternFill>
      </fill>
    </dxf>
    <dxf>
      <font>
        <color theme="0"/>
      </font>
      <fill>
        <patternFill>
          <bgColor theme="1"/>
        </patternFill>
      </fill>
    </dxf>
    <dxf>
      <font>
        <color theme="1"/>
      </font>
      <fill>
        <patternFill>
          <bgColor theme="9" tint="0.39994506668294322"/>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u val="none"/>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bgColor theme="0" tint="-0.14996795556505021"/>
        </patternFill>
      </fill>
    </dxf>
    <dxf>
      <font>
        <color theme="1"/>
      </font>
      <fill>
        <patternFill>
          <bgColor theme="7" tint="0.39994506668294322"/>
        </patternFill>
      </fill>
    </dxf>
    <dxf>
      <font>
        <color theme="1"/>
      </font>
      <fill>
        <patternFill>
          <bgColor theme="7" tint="0.59996337778862885"/>
        </patternFill>
      </fill>
    </dxf>
    <dxf>
      <font>
        <color theme="1"/>
      </font>
      <fill>
        <patternFill>
          <bgColor theme="7"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rgb="FFD883FF"/>
        </patternFill>
      </fill>
    </dxf>
    <dxf>
      <font>
        <color theme="1"/>
      </font>
      <fill>
        <patternFill>
          <bgColor theme="4" tint="0.79998168889431442"/>
        </patternFill>
      </fill>
    </dxf>
    <dxf>
      <font>
        <color theme="1"/>
      </font>
      <fill>
        <patternFill patternType="none">
          <bgColor auto="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
      <font>
        <color theme="1"/>
      </font>
      <fill>
        <patternFill patternType="none">
          <bgColor auto="1"/>
        </patternFill>
      </fill>
    </dxf>
    <dxf>
      <font>
        <color theme="1"/>
      </font>
      <fill>
        <patternFill>
          <bgColor rgb="FFD883FF"/>
        </patternFill>
      </fill>
    </dxf>
    <dxf>
      <font>
        <color theme="1"/>
      </font>
      <fill>
        <patternFill>
          <bgColor theme="4"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theme="7" tint="0.39994506668294322"/>
        </patternFill>
      </fill>
    </dxf>
    <dxf>
      <font>
        <color theme="1"/>
      </font>
      <fill>
        <patternFill>
          <bgColor theme="0" tint="-0.1499679555650502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fgColor auto="1"/>
          <bgColor theme="5" tint="0.79998168889431442"/>
        </patternFill>
      </fill>
    </dxf>
    <dxf>
      <font>
        <color theme="1"/>
      </font>
      <fill>
        <patternFill>
          <bgColor theme="5" tint="0.59996337778862885"/>
        </patternFill>
      </fill>
    </dxf>
    <dxf>
      <fill>
        <patternFill>
          <bgColor theme="5" tint="0.39994506668294322"/>
        </patternFill>
      </fill>
    </dxf>
    <dxf>
      <fill>
        <patternFill>
          <bgColor theme="5" tint="-0.24994659260841701"/>
        </patternFill>
      </fill>
    </dxf>
    <dxf>
      <font>
        <color theme="1"/>
      </font>
      <fill>
        <patternFill patternType="none">
          <bgColor auto="1"/>
        </patternFill>
      </fill>
    </dxf>
    <dxf>
      <font>
        <color theme="1"/>
      </font>
      <fill>
        <patternFill>
          <bgColor rgb="FFD883FF"/>
        </patternFill>
      </fill>
    </dxf>
    <dxf>
      <font>
        <color theme="1"/>
      </font>
      <fill>
        <patternFill>
          <bgColor theme="4" tint="0.79998168889431442"/>
        </patternFill>
      </fill>
    </dxf>
    <dxf>
      <font>
        <color theme="1"/>
      </font>
      <fill>
        <patternFill>
          <bgColor rgb="FF7030A0"/>
        </patternFill>
      </fill>
    </dxf>
    <dxf>
      <font>
        <color theme="1"/>
      </font>
      <fill>
        <patternFill>
          <bgColor rgb="FF7A81FF"/>
        </patternFill>
      </fill>
    </dxf>
    <dxf>
      <font>
        <color theme="1"/>
      </font>
      <fill>
        <patternFill>
          <bgColor rgb="FFE6DFFF"/>
        </patternFill>
      </fill>
    </dxf>
    <dxf>
      <font>
        <color theme="1"/>
      </font>
      <fill>
        <patternFill>
          <bgColor theme="7" tint="0.79998168889431442"/>
        </patternFill>
      </fill>
    </dxf>
    <dxf>
      <font>
        <color theme="1"/>
      </font>
      <fill>
        <patternFill>
          <bgColor theme="7" tint="0.59996337778862885"/>
        </patternFill>
      </fill>
    </dxf>
    <dxf>
      <font>
        <color theme="1"/>
      </font>
      <fill>
        <patternFill>
          <bgColor theme="7" tint="0.39994506668294322"/>
        </patternFill>
      </fill>
    </dxf>
    <dxf>
      <font>
        <color theme="1"/>
      </font>
      <fill>
        <patternFill>
          <bgColor theme="0" tint="-0.14996795556505021"/>
        </patternFill>
      </fill>
    </dxf>
    <dxf>
      <font>
        <color rgb="FF9C0006"/>
      </font>
      <fill>
        <patternFill>
          <bgColor rgb="FFFF2F92"/>
        </patternFill>
      </fill>
    </dxf>
    <dxf>
      <font>
        <color theme="1"/>
      </font>
      <fill>
        <patternFill>
          <bgColor theme="9" tint="0.39994506668294322"/>
        </patternFill>
      </fill>
    </dxf>
    <dxf>
      <font>
        <color theme="1"/>
      </font>
      <fill>
        <patternFill>
          <bgColor theme="9" tint="0.79998168889431442"/>
        </patternFill>
      </fill>
    </dxf>
    <dxf>
      <font>
        <color theme="0"/>
      </font>
      <fill>
        <patternFill>
          <bgColor theme="1"/>
        </patternFill>
      </fill>
    </dxf>
    <dxf>
      <font>
        <color theme="1"/>
      </font>
      <fill>
        <patternFill>
          <bgColor theme="5" tint="0.79998168889431442"/>
        </patternFill>
      </fill>
    </dxf>
    <dxf>
      <font>
        <color theme="1"/>
      </font>
      <fill>
        <patternFill>
          <bgColor theme="5" tint="0.59996337778862885"/>
        </patternFill>
      </fill>
    </dxf>
    <dxf>
      <font>
        <color theme="1"/>
      </font>
      <fill>
        <patternFill>
          <bgColor theme="5" tint="0.39994506668294322"/>
        </patternFill>
      </fill>
    </dxf>
    <dxf>
      <font>
        <color theme="1"/>
      </font>
      <fill>
        <patternFill>
          <bgColor theme="5" tint="-0.24994659260841701"/>
        </pattern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BFC"/>
      <color rgb="FFECBFFF"/>
      <color rgb="FFE6DFFF"/>
      <color rgb="FFD883FF"/>
      <color rgb="FFFF2F92"/>
      <color rgb="FF7A81FF"/>
      <color rgb="FFFFFC00"/>
      <color rgb="FFF9FF9C"/>
      <color rgb="FFFDFF9C"/>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ve/Documents/Kurser/Skolea&#778;rets%20planl&#230;gning/2022-2023/ArbejdstidTOMT-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riskoler.dk/Users/tove/Library/Application%20Support/Microsoft/Office/Office%202011%20AutoRecovery/KAL1516%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ledning"/>
      <sheetName val="Vejledning PDF"/>
      <sheetName val="Maaned"/>
      <sheetName val="Stamoplysninger"/>
      <sheetName val="Skemaoplysninger"/>
      <sheetName val="August"/>
      <sheetName val="September"/>
      <sheetName val="Oktober"/>
      <sheetName val="November"/>
      <sheetName val="December"/>
      <sheetName val="Januar"/>
      <sheetName val="Februar"/>
      <sheetName val="Marts"/>
      <sheetName val="April"/>
      <sheetName val="Maj"/>
      <sheetName val="Juni"/>
      <sheetName val="Juli"/>
      <sheetName val="Arbejdstidsoversigt"/>
      <sheetName val="Opgaver"/>
      <sheetName val="Opgørelse"/>
      <sheetName val="Skema 1 til print"/>
      <sheetName val="Skema 2 til print"/>
      <sheetName val="Skema 3 til print"/>
      <sheetName val="Skema 4 til print"/>
      <sheetName val="Undervisningstillæg"/>
      <sheetName val="Ulempe-weekendtillæg"/>
      <sheetName val="Aar"/>
      <sheetName val="1.halvaar"/>
      <sheetName val="2.halvaar"/>
      <sheetName val="Vejledning til arb.tidsoversigt"/>
      <sheetName val="Opgaveoversigt"/>
      <sheetName val="Aften-weekendtillæg"/>
      <sheetName val="TOMT ÅR"/>
      <sheetName val="TOMT 1. HALVÅR"/>
      <sheetName val="TOMT 2. HALVÅR"/>
    </sheetNames>
    <sheetDataSet>
      <sheetData sheetId="0"/>
      <sheetData sheetId="1"/>
      <sheetData sheetId="2"/>
      <sheetData sheetId="3"/>
      <sheetData sheetId="4"/>
      <sheetData sheetId="5">
        <row r="10">
          <cell r="C10" t="str">
            <v>Feriedag</v>
          </cell>
        </row>
        <row r="11">
          <cell r="C11" t="str">
            <v>Feriedag</v>
          </cell>
        </row>
        <row r="12">
          <cell r="C12" t="str">
            <v>Nul-dag</v>
          </cell>
        </row>
        <row r="13">
          <cell r="C13" t="str">
            <v>Nul-dag</v>
          </cell>
        </row>
        <row r="14">
          <cell r="C14" t="str">
            <v>Nul-dag</v>
          </cell>
        </row>
        <row r="15">
          <cell r="C15" t="str">
            <v>Weekend</v>
          </cell>
        </row>
        <row r="16">
          <cell r="C16" t="str">
            <v>Weekend</v>
          </cell>
        </row>
        <row r="17">
          <cell r="C17" t="str">
            <v>Skema 1</v>
          </cell>
        </row>
        <row r="18">
          <cell r="C18" t="str">
            <v>Skema 1</v>
          </cell>
        </row>
        <row r="19">
          <cell r="C19" t="str">
            <v>Skema 1</v>
          </cell>
        </row>
        <row r="20">
          <cell r="C20" t="str">
            <v>Skema 1</v>
          </cell>
        </row>
        <row r="21">
          <cell r="C21" t="str">
            <v>Skema 1</v>
          </cell>
        </row>
        <row r="22">
          <cell r="C22" t="str">
            <v>Weekend</v>
          </cell>
        </row>
        <row r="23">
          <cell r="C23" t="str">
            <v>Weekend</v>
          </cell>
        </row>
        <row r="24">
          <cell r="C24" t="str">
            <v>Skema 1</v>
          </cell>
        </row>
        <row r="25">
          <cell r="C25" t="str">
            <v>Skema 1</v>
          </cell>
        </row>
        <row r="26">
          <cell r="C26" t="str">
            <v>Skema 1</v>
          </cell>
        </row>
        <row r="27">
          <cell r="C27" t="str">
            <v>Skema 1</v>
          </cell>
        </row>
        <row r="28">
          <cell r="C28" t="str">
            <v>Skema 1</v>
          </cell>
        </row>
        <row r="29">
          <cell r="C29" t="str">
            <v>Weekend</v>
          </cell>
        </row>
        <row r="30">
          <cell r="C30" t="str">
            <v>Weekend</v>
          </cell>
        </row>
        <row r="31">
          <cell r="C31" t="str">
            <v>Skema 1</v>
          </cell>
        </row>
        <row r="32">
          <cell r="C32" t="str">
            <v>Skema 1</v>
          </cell>
        </row>
        <row r="33">
          <cell r="C33" t="str">
            <v>Skema 1</v>
          </cell>
        </row>
        <row r="34">
          <cell r="C34" t="str">
            <v>Skema 1</v>
          </cell>
        </row>
        <row r="35">
          <cell r="C35" t="str">
            <v>Skema 1</v>
          </cell>
        </row>
        <row r="36">
          <cell r="C36" t="str">
            <v>Weekend</v>
          </cell>
        </row>
        <row r="37">
          <cell r="C37" t="str">
            <v>Weekend</v>
          </cell>
        </row>
        <row r="38">
          <cell r="C38" t="str">
            <v>Skema 1</v>
          </cell>
        </row>
        <row r="39">
          <cell r="C39" t="str">
            <v>Skema 1</v>
          </cell>
        </row>
        <row r="40">
          <cell r="C40" t="str">
            <v>Skema 1</v>
          </cell>
        </row>
      </sheetData>
      <sheetData sheetId="6">
        <row r="9">
          <cell r="C9" t="str">
            <v>Skema 1</v>
          </cell>
        </row>
        <row r="10">
          <cell r="C10" t="str">
            <v>Skema 1</v>
          </cell>
        </row>
        <row r="11">
          <cell r="C11" t="str">
            <v>Weekend</v>
          </cell>
        </row>
        <row r="12">
          <cell r="C12" t="str">
            <v>Weekend</v>
          </cell>
        </row>
        <row r="13">
          <cell r="C13" t="str">
            <v>Skema 1</v>
          </cell>
        </row>
        <row r="14">
          <cell r="C14" t="str">
            <v>Skema 1</v>
          </cell>
        </row>
        <row r="15">
          <cell r="C15" t="str">
            <v>Skema 1</v>
          </cell>
        </row>
        <row r="16">
          <cell r="C16" t="str">
            <v>Skema 1</v>
          </cell>
        </row>
        <row r="17">
          <cell r="C17" t="str">
            <v>Skema 1</v>
          </cell>
        </row>
        <row r="18">
          <cell r="C18" t="str">
            <v>Weekend</v>
          </cell>
        </row>
        <row r="19">
          <cell r="C19" t="str">
            <v>Weekend</v>
          </cell>
        </row>
        <row r="20">
          <cell r="C20" t="str">
            <v>Skema 1</v>
          </cell>
        </row>
        <row r="21">
          <cell r="C21" t="str">
            <v>Skema 1</v>
          </cell>
        </row>
        <row r="22">
          <cell r="C22" t="str">
            <v>Skema 1</v>
          </cell>
        </row>
        <row r="23">
          <cell r="C23" t="str">
            <v>Skema 1</v>
          </cell>
        </row>
        <row r="24">
          <cell r="C24" t="str">
            <v>Skema 1</v>
          </cell>
        </row>
        <row r="25">
          <cell r="C25" t="str">
            <v>Weekend</v>
          </cell>
        </row>
        <row r="26">
          <cell r="C26" t="str">
            <v>Weekend</v>
          </cell>
        </row>
        <row r="27">
          <cell r="C27" t="str">
            <v>Skema 1</v>
          </cell>
        </row>
        <row r="28">
          <cell r="C28" t="str">
            <v>Skema 1</v>
          </cell>
        </row>
        <row r="29">
          <cell r="C29" t="str">
            <v>Skema 1</v>
          </cell>
        </row>
        <row r="30">
          <cell r="C30" t="str">
            <v>Skema 1</v>
          </cell>
        </row>
        <row r="31">
          <cell r="C31" t="str">
            <v>Skema 1</v>
          </cell>
        </row>
        <row r="32">
          <cell r="C32" t="str">
            <v>Weekend</v>
          </cell>
        </row>
        <row r="33">
          <cell r="C33" t="str">
            <v>Weekend</v>
          </cell>
        </row>
        <row r="34">
          <cell r="C34" t="str">
            <v>Skema 1</v>
          </cell>
        </row>
        <row r="35">
          <cell r="C35" t="str">
            <v>Skema 1</v>
          </cell>
        </row>
        <row r="36">
          <cell r="C36" t="str">
            <v>Skema 1</v>
          </cell>
        </row>
        <row r="37">
          <cell r="C37" t="str">
            <v>Skema 1</v>
          </cell>
        </row>
        <row r="38">
          <cell r="C38" t="str">
            <v>Skema 1</v>
          </cell>
        </row>
      </sheetData>
      <sheetData sheetId="7">
        <row r="9">
          <cell r="C9" t="str">
            <v>Weekend</v>
          </cell>
        </row>
        <row r="10">
          <cell r="C10" t="str">
            <v>Weekend</v>
          </cell>
        </row>
        <row r="11">
          <cell r="C11" t="str">
            <v>Skema 1</v>
          </cell>
        </row>
        <row r="12">
          <cell r="C12" t="str">
            <v>Skema 1</v>
          </cell>
        </row>
        <row r="13">
          <cell r="C13" t="str">
            <v>Skema 1</v>
          </cell>
        </row>
        <row r="14">
          <cell r="C14" t="str">
            <v>Skema 1</v>
          </cell>
        </row>
        <row r="15">
          <cell r="C15" t="str">
            <v>Skema 1</v>
          </cell>
        </row>
        <row r="16">
          <cell r="C16" t="str">
            <v>Weekend</v>
          </cell>
        </row>
        <row r="17">
          <cell r="C17" t="str">
            <v>Weekend</v>
          </cell>
        </row>
        <row r="18">
          <cell r="C18" t="str">
            <v>Skema 1</v>
          </cell>
        </row>
        <row r="19">
          <cell r="C19" t="str">
            <v>Skema 1</v>
          </cell>
        </row>
        <row r="20">
          <cell r="C20" t="str">
            <v>Skema 1</v>
          </cell>
        </row>
        <row r="21">
          <cell r="C21" t="str">
            <v>Skema 1</v>
          </cell>
        </row>
        <row r="22">
          <cell r="C22" t="str">
            <v>Skema 1</v>
          </cell>
        </row>
        <row r="23">
          <cell r="C23" t="str">
            <v>Weekend</v>
          </cell>
        </row>
        <row r="24">
          <cell r="C24" t="str">
            <v>Weekend</v>
          </cell>
        </row>
        <row r="25">
          <cell r="C25" t="str">
            <v>Feriedag</v>
          </cell>
        </row>
        <row r="26">
          <cell r="C26" t="str">
            <v>Feriedag</v>
          </cell>
        </row>
        <row r="27">
          <cell r="C27" t="str">
            <v>Feriedag</v>
          </cell>
        </row>
        <row r="28">
          <cell r="C28" t="str">
            <v>Feriedag</v>
          </cell>
        </row>
        <row r="29">
          <cell r="C29" t="str">
            <v>Feriedag</v>
          </cell>
        </row>
        <row r="30">
          <cell r="C30" t="str">
            <v>Weekend</v>
          </cell>
        </row>
        <row r="31">
          <cell r="C31" t="str">
            <v>Weekend</v>
          </cell>
        </row>
        <row r="32">
          <cell r="C32" t="str">
            <v>Skema 1</v>
          </cell>
        </row>
        <row r="33">
          <cell r="C33" t="str">
            <v>Skema 1</v>
          </cell>
        </row>
        <row r="34">
          <cell r="C34" t="str">
            <v>Skema 1</v>
          </cell>
        </row>
        <row r="35">
          <cell r="C35" t="str">
            <v>Skema 1</v>
          </cell>
        </row>
        <row r="36">
          <cell r="C36" t="str">
            <v>Skema 1</v>
          </cell>
        </row>
        <row r="37">
          <cell r="C37" t="str">
            <v>Weekend</v>
          </cell>
        </row>
        <row r="38">
          <cell r="C38" t="str">
            <v>Weekend</v>
          </cell>
        </row>
        <row r="39">
          <cell r="C39" t="str">
            <v>Weekend</v>
          </cell>
        </row>
      </sheetData>
      <sheetData sheetId="8">
        <row r="9">
          <cell r="C9" t="str">
            <v>Skema 1</v>
          </cell>
        </row>
        <row r="10">
          <cell r="C10" t="str">
            <v>Skema 1</v>
          </cell>
        </row>
        <row r="11">
          <cell r="C11" t="str">
            <v>Skema 1</v>
          </cell>
        </row>
        <row r="12">
          <cell r="C12" t="str">
            <v>Skema 1</v>
          </cell>
        </row>
        <row r="13">
          <cell r="C13" t="str">
            <v>Weekend</v>
          </cell>
        </row>
        <row r="14">
          <cell r="C14" t="str">
            <v>Weekend</v>
          </cell>
        </row>
        <row r="15">
          <cell r="C15" t="str">
            <v>Skema 1</v>
          </cell>
        </row>
        <row r="16">
          <cell r="C16" t="str">
            <v>Skema 1</v>
          </cell>
        </row>
        <row r="17">
          <cell r="C17" t="str">
            <v>Skema 1</v>
          </cell>
        </row>
        <row r="18">
          <cell r="C18" t="str">
            <v>Skema 1</v>
          </cell>
        </row>
        <row r="19">
          <cell r="C19" t="str">
            <v>Skema 1</v>
          </cell>
        </row>
        <row r="20">
          <cell r="C20" t="str">
            <v>Weekend</v>
          </cell>
        </row>
        <row r="21">
          <cell r="C21" t="str">
            <v>Weekend</v>
          </cell>
        </row>
        <row r="22">
          <cell r="C22" t="str">
            <v>Skema 1</v>
          </cell>
        </row>
        <row r="23">
          <cell r="C23" t="str">
            <v>Skema 1</v>
          </cell>
        </row>
        <row r="24">
          <cell r="C24" t="str">
            <v>Skema 1</v>
          </cell>
        </row>
        <row r="25">
          <cell r="C25" t="str">
            <v>Skema 1</v>
          </cell>
        </row>
        <row r="26">
          <cell r="C26" t="str">
            <v>Skema 1</v>
          </cell>
        </row>
        <row r="27">
          <cell r="C27" t="str">
            <v>Weekend</v>
          </cell>
        </row>
        <row r="28">
          <cell r="C28" t="str">
            <v>Weekend</v>
          </cell>
        </row>
        <row r="29">
          <cell r="C29" t="str">
            <v>Skema 1</v>
          </cell>
        </row>
        <row r="30">
          <cell r="C30" t="str">
            <v>Skema 1</v>
          </cell>
        </row>
        <row r="31">
          <cell r="C31" t="str">
            <v>Skema 1</v>
          </cell>
        </row>
        <row r="32">
          <cell r="C32" t="str">
            <v>Skema 1</v>
          </cell>
        </row>
        <row r="33">
          <cell r="C33" t="str">
            <v>Skema 1</v>
          </cell>
        </row>
        <row r="34">
          <cell r="C34" t="str">
            <v>Weekend</v>
          </cell>
        </row>
        <row r="35">
          <cell r="C35" t="str">
            <v>Weekend</v>
          </cell>
        </row>
        <row r="36">
          <cell r="C36" t="str">
            <v>Skema 1</v>
          </cell>
        </row>
        <row r="37">
          <cell r="C37" t="str">
            <v>Skema 1</v>
          </cell>
        </row>
        <row r="38">
          <cell r="C38" t="str">
            <v>Skema 1</v>
          </cell>
        </row>
      </sheetData>
      <sheetData sheetId="9">
        <row r="9">
          <cell r="C9" t="str">
            <v>Skema 1</v>
          </cell>
        </row>
        <row r="10">
          <cell r="C10" t="str">
            <v>Skema 1</v>
          </cell>
        </row>
        <row r="11">
          <cell r="C11" t="str">
            <v>Weekend</v>
          </cell>
        </row>
        <row r="12">
          <cell r="C12" t="str">
            <v>Weekend</v>
          </cell>
        </row>
        <row r="13">
          <cell r="C13" t="str">
            <v>Skema 1</v>
          </cell>
        </row>
        <row r="14">
          <cell r="C14" t="str">
            <v>Skema 1</v>
          </cell>
        </row>
        <row r="15">
          <cell r="C15" t="str">
            <v>Skema 1</v>
          </cell>
        </row>
        <row r="16">
          <cell r="C16" t="str">
            <v>Skema 1</v>
          </cell>
        </row>
        <row r="17">
          <cell r="C17" t="str">
            <v>Skema 1</v>
          </cell>
        </row>
        <row r="18">
          <cell r="C18" t="str">
            <v>Weekend</v>
          </cell>
        </row>
        <row r="19">
          <cell r="C19" t="str">
            <v>Weekend</v>
          </cell>
        </row>
        <row r="20">
          <cell r="C20" t="str">
            <v>Skema 1</v>
          </cell>
        </row>
        <row r="21">
          <cell r="C21" t="str">
            <v>Skema 1</v>
          </cell>
        </row>
        <row r="22">
          <cell r="C22" t="str">
            <v>Skema 1</v>
          </cell>
        </row>
        <row r="23">
          <cell r="C23" t="str">
            <v>Skema 1</v>
          </cell>
        </row>
        <row r="24">
          <cell r="C24" t="str">
            <v>Skema 1</v>
          </cell>
        </row>
        <row r="25">
          <cell r="C25" t="str">
            <v>Weekend</v>
          </cell>
        </row>
        <row r="26">
          <cell r="C26" t="str">
            <v>Weekend</v>
          </cell>
        </row>
        <row r="27">
          <cell r="C27" t="str">
            <v>Skema 1</v>
          </cell>
        </row>
        <row r="28">
          <cell r="C28" t="str">
            <v>Skema 1</v>
          </cell>
        </row>
        <row r="29">
          <cell r="C29" t="str">
            <v>Skema 1</v>
          </cell>
        </row>
        <row r="30">
          <cell r="C30" t="str">
            <v>Nul-dag</v>
          </cell>
        </row>
        <row r="31">
          <cell r="C31" t="str">
            <v>Nul-dag</v>
          </cell>
        </row>
        <row r="32">
          <cell r="C32" t="str">
            <v>Weekend</v>
          </cell>
        </row>
        <row r="33">
          <cell r="C33" t="str">
            <v>Weekend</v>
          </cell>
        </row>
        <row r="34">
          <cell r="C34" t="str">
            <v>SH-dag</v>
          </cell>
        </row>
        <row r="35">
          <cell r="C35" t="str">
            <v>Nul-dag</v>
          </cell>
        </row>
        <row r="36">
          <cell r="C36" t="str">
            <v>Nul-dag</v>
          </cell>
        </row>
        <row r="37">
          <cell r="C37" t="str">
            <v>Nul-dag</v>
          </cell>
        </row>
        <row r="38">
          <cell r="C38" t="str">
            <v>Nul-dag</v>
          </cell>
        </row>
        <row r="39">
          <cell r="C39" t="str">
            <v>Nul-dag</v>
          </cell>
        </row>
      </sheetData>
      <sheetData sheetId="10">
        <row r="9">
          <cell r="C9" t="str">
            <v>Weekend</v>
          </cell>
        </row>
        <row r="10">
          <cell r="C10" t="str">
            <v>Nul-dag</v>
          </cell>
        </row>
        <row r="11">
          <cell r="C11" t="str">
            <v>Nul-dag</v>
          </cell>
        </row>
        <row r="12">
          <cell r="C12" t="str">
            <v>Skema 1</v>
          </cell>
        </row>
        <row r="13">
          <cell r="C13" t="str">
            <v>Skema 1</v>
          </cell>
        </row>
        <row r="14">
          <cell r="C14" t="str">
            <v>Skema 1</v>
          </cell>
        </row>
        <row r="15">
          <cell r="C15" t="str">
            <v>Weekend</v>
          </cell>
        </row>
        <row r="16">
          <cell r="C16" t="str">
            <v>Weekend</v>
          </cell>
        </row>
        <row r="17">
          <cell r="C17" t="str">
            <v>Skema 1</v>
          </cell>
        </row>
        <row r="18">
          <cell r="C18" t="str">
            <v>Skema 1</v>
          </cell>
        </row>
        <row r="19">
          <cell r="C19" t="str">
            <v>Skema 1</v>
          </cell>
        </row>
        <row r="20">
          <cell r="C20" t="str">
            <v>Skema 1</v>
          </cell>
        </row>
        <row r="21">
          <cell r="C21" t="str">
            <v>Skema 1</v>
          </cell>
        </row>
        <row r="22">
          <cell r="C22" t="str">
            <v>Weekend</v>
          </cell>
        </row>
        <row r="23">
          <cell r="C23" t="str">
            <v>Weekend</v>
          </cell>
        </row>
        <row r="24">
          <cell r="C24" t="str">
            <v>Skema 1</v>
          </cell>
        </row>
        <row r="25">
          <cell r="C25" t="str">
            <v>Skema 1</v>
          </cell>
        </row>
        <row r="26">
          <cell r="C26" t="str">
            <v>Skema 1</v>
          </cell>
        </row>
        <row r="27">
          <cell r="C27" t="str">
            <v>Skema 1</v>
          </cell>
        </row>
        <row r="28">
          <cell r="C28" t="str">
            <v>Skema 1</v>
          </cell>
        </row>
        <row r="29">
          <cell r="C29" t="str">
            <v>Weekend</v>
          </cell>
        </row>
        <row r="30">
          <cell r="C30" t="str">
            <v>Weekend</v>
          </cell>
        </row>
        <row r="31">
          <cell r="C31" t="str">
            <v>Skema 1</v>
          </cell>
        </row>
        <row r="32">
          <cell r="C32" t="str">
            <v>Skema 1</v>
          </cell>
        </row>
        <row r="33">
          <cell r="C33" t="str">
            <v>Skema 1</v>
          </cell>
        </row>
        <row r="34">
          <cell r="C34" t="str">
            <v>Skema 1</v>
          </cell>
        </row>
        <row r="35">
          <cell r="C35" t="str">
            <v>Skema 1</v>
          </cell>
        </row>
        <row r="36">
          <cell r="C36" t="str">
            <v>Weekend</v>
          </cell>
        </row>
        <row r="37">
          <cell r="C37" t="str">
            <v>Weekend</v>
          </cell>
        </row>
        <row r="38">
          <cell r="C38" t="str">
            <v>Skema 1</v>
          </cell>
        </row>
        <row r="39">
          <cell r="C39" t="str">
            <v>Skema 1</v>
          </cell>
        </row>
      </sheetData>
      <sheetData sheetId="11">
        <row r="9">
          <cell r="C9" t="str">
            <v>Skema 1</v>
          </cell>
        </row>
        <row r="10">
          <cell r="C10" t="str">
            <v>Skema 1</v>
          </cell>
        </row>
        <row r="11">
          <cell r="C11" t="str">
            <v>Skema 1</v>
          </cell>
        </row>
        <row r="12">
          <cell r="C12" t="str">
            <v>Weekend</v>
          </cell>
        </row>
        <row r="13">
          <cell r="C13" t="str">
            <v>Weekend</v>
          </cell>
        </row>
        <row r="14">
          <cell r="C14" t="str">
            <v>Skema 1</v>
          </cell>
        </row>
        <row r="15">
          <cell r="C15" t="str">
            <v>Skema 1</v>
          </cell>
        </row>
        <row r="16">
          <cell r="C16" t="str">
            <v>Skema 1</v>
          </cell>
        </row>
        <row r="17">
          <cell r="C17" t="str">
            <v>Skema 1</v>
          </cell>
        </row>
        <row r="18">
          <cell r="C18" t="str">
            <v>Skema 1</v>
          </cell>
        </row>
        <row r="19">
          <cell r="C19" t="str">
            <v>Weekend</v>
          </cell>
        </row>
        <row r="20">
          <cell r="C20" t="str">
            <v>Weekend</v>
          </cell>
        </row>
        <row r="21">
          <cell r="C21" t="str">
            <v>Nul-dag</v>
          </cell>
        </row>
        <row r="22">
          <cell r="C22" t="str">
            <v>Nul-dag</v>
          </cell>
        </row>
        <row r="23">
          <cell r="C23" t="str">
            <v>Nul-dag</v>
          </cell>
        </row>
        <row r="24">
          <cell r="C24" t="str">
            <v>Nul-dag</v>
          </cell>
        </row>
        <row r="25">
          <cell r="C25" t="str">
            <v>Nul-dag</v>
          </cell>
        </row>
        <row r="26">
          <cell r="C26" t="str">
            <v>Weekend</v>
          </cell>
        </row>
        <row r="27">
          <cell r="C27" t="str">
            <v>Weekend</v>
          </cell>
        </row>
        <row r="28">
          <cell r="C28" t="str">
            <v>Skema 1</v>
          </cell>
        </row>
        <row r="29">
          <cell r="C29" t="str">
            <v>Skema 1</v>
          </cell>
        </row>
        <row r="30">
          <cell r="C30" t="str">
            <v>Skema 1</v>
          </cell>
        </row>
        <row r="31">
          <cell r="C31" t="str">
            <v>Skema 1</v>
          </cell>
        </row>
        <row r="32">
          <cell r="C32" t="str">
            <v>Skema 1</v>
          </cell>
        </row>
        <row r="33">
          <cell r="C33" t="str">
            <v>Weekend</v>
          </cell>
        </row>
        <row r="34">
          <cell r="C34" t="str">
            <v>Weekend</v>
          </cell>
        </row>
        <row r="35">
          <cell r="C35" t="str">
            <v>Skema 1</v>
          </cell>
        </row>
        <row r="36">
          <cell r="C36" t="str">
            <v>Skema 1</v>
          </cell>
        </row>
      </sheetData>
      <sheetData sheetId="12">
        <row r="9">
          <cell r="C9" t="str">
            <v>Skema 1</v>
          </cell>
        </row>
        <row r="10">
          <cell r="C10" t="str">
            <v>Skema 1</v>
          </cell>
        </row>
        <row r="11">
          <cell r="C11" t="str">
            <v>Skema 1</v>
          </cell>
        </row>
        <row r="12">
          <cell r="C12" t="str">
            <v>Weekend</v>
          </cell>
        </row>
        <row r="13">
          <cell r="C13" t="str">
            <v>Weekend</v>
          </cell>
        </row>
        <row r="14">
          <cell r="C14" t="str">
            <v>Skema 1</v>
          </cell>
        </row>
        <row r="15">
          <cell r="C15" t="str">
            <v>Skema 1</v>
          </cell>
        </row>
        <row r="16">
          <cell r="C16" t="str">
            <v>Skema 1</v>
          </cell>
        </row>
        <row r="17">
          <cell r="C17" t="str">
            <v>Skema 1</v>
          </cell>
        </row>
        <row r="18">
          <cell r="C18" t="str">
            <v>Skema 1</v>
          </cell>
        </row>
        <row r="19">
          <cell r="C19" t="str">
            <v>Weekend</v>
          </cell>
        </row>
        <row r="20">
          <cell r="C20" t="str">
            <v>Weekend</v>
          </cell>
        </row>
        <row r="21">
          <cell r="C21" t="str">
            <v>Skema 1</v>
          </cell>
        </row>
        <row r="22">
          <cell r="C22" t="str">
            <v>Skema 1</v>
          </cell>
        </row>
        <row r="23">
          <cell r="C23" t="str">
            <v>Skema 1</v>
          </cell>
        </row>
        <row r="24">
          <cell r="C24" t="str">
            <v>Skema 1</v>
          </cell>
        </row>
        <row r="25">
          <cell r="C25" t="str">
            <v>Skema 1</v>
          </cell>
        </row>
        <row r="26">
          <cell r="C26" t="str">
            <v>Weekend</v>
          </cell>
        </row>
        <row r="27">
          <cell r="C27" t="str">
            <v>Weekend</v>
          </cell>
        </row>
        <row r="28">
          <cell r="C28" t="str">
            <v>Skema 1</v>
          </cell>
        </row>
        <row r="29">
          <cell r="C29" t="str">
            <v>Skema 1</v>
          </cell>
        </row>
        <row r="30">
          <cell r="C30" t="str">
            <v>Skema 1</v>
          </cell>
        </row>
        <row r="31">
          <cell r="C31" t="str">
            <v>Skema 1</v>
          </cell>
        </row>
        <row r="32">
          <cell r="C32" t="str">
            <v>Skema 1</v>
          </cell>
        </row>
        <row r="33">
          <cell r="C33" t="str">
            <v>Weekend</v>
          </cell>
        </row>
        <row r="34">
          <cell r="C34" t="str">
            <v>Weekend</v>
          </cell>
        </row>
        <row r="35">
          <cell r="C35" t="str">
            <v>Skema 1</v>
          </cell>
        </row>
        <row r="36">
          <cell r="C36" t="str">
            <v>Skema 1</v>
          </cell>
        </row>
        <row r="37">
          <cell r="C37" t="str">
            <v>Skema 1</v>
          </cell>
        </row>
        <row r="38">
          <cell r="C38" t="str">
            <v>Skema 1</v>
          </cell>
        </row>
        <row r="39">
          <cell r="C39" t="str">
            <v>Skema 1</v>
          </cell>
        </row>
      </sheetData>
      <sheetData sheetId="13">
        <row r="9">
          <cell r="C9" t="str">
            <v>Weekend</v>
          </cell>
        </row>
        <row r="10">
          <cell r="C10" t="str">
            <v>Weekend</v>
          </cell>
        </row>
        <row r="11">
          <cell r="C11" t="str">
            <v>Nul-dag</v>
          </cell>
        </row>
        <row r="12">
          <cell r="C12" t="str">
            <v>Nul-dag</v>
          </cell>
        </row>
        <row r="13">
          <cell r="C13" t="str">
            <v>Nul-dag</v>
          </cell>
        </row>
        <row r="14">
          <cell r="C14" t="str">
            <v>SH-dag</v>
          </cell>
        </row>
        <row r="15">
          <cell r="C15" t="str">
            <v>SH-dag</v>
          </cell>
        </row>
        <row r="16">
          <cell r="C16" t="str">
            <v>Weekend</v>
          </cell>
        </row>
        <row r="17">
          <cell r="C17" t="str">
            <v>Weekend</v>
          </cell>
        </row>
        <row r="18">
          <cell r="C18" t="str">
            <v>SH-dag</v>
          </cell>
        </row>
        <row r="19">
          <cell r="C19" t="str">
            <v>Skema 1</v>
          </cell>
        </row>
        <row r="20">
          <cell r="C20" t="str">
            <v>Skema 1</v>
          </cell>
        </row>
        <row r="21">
          <cell r="C21" t="str">
            <v>Skema 1</v>
          </cell>
        </row>
        <row r="22">
          <cell r="C22" t="str">
            <v>Skema 1</v>
          </cell>
        </row>
        <row r="23">
          <cell r="C23" t="str">
            <v>Weekend</v>
          </cell>
        </row>
        <row r="24">
          <cell r="C24" t="str">
            <v>Weekend</v>
          </cell>
        </row>
        <row r="25">
          <cell r="C25" t="str">
            <v>Skema 1</v>
          </cell>
        </row>
        <row r="26">
          <cell r="C26" t="str">
            <v>Skema 1</v>
          </cell>
        </row>
        <row r="27">
          <cell r="C27" t="str">
            <v>Skema 1</v>
          </cell>
        </row>
        <row r="28">
          <cell r="C28" t="str">
            <v>Skema 1</v>
          </cell>
        </row>
        <row r="29">
          <cell r="C29" t="str">
            <v>Skema 1</v>
          </cell>
        </row>
        <row r="30">
          <cell r="C30" t="str">
            <v>Weekend</v>
          </cell>
        </row>
        <row r="31">
          <cell r="C31" t="str">
            <v>Weekend</v>
          </cell>
        </row>
        <row r="32">
          <cell r="C32" t="str">
            <v>Skema 1</v>
          </cell>
        </row>
        <row r="33">
          <cell r="C33" t="str">
            <v>Skema 1</v>
          </cell>
        </row>
        <row r="34">
          <cell r="C34" t="str">
            <v>Skema 1</v>
          </cell>
        </row>
        <row r="35">
          <cell r="C35" t="str">
            <v>Skema 1</v>
          </cell>
        </row>
        <row r="36">
          <cell r="C36" t="str">
            <v>Skema 1</v>
          </cell>
        </row>
        <row r="37">
          <cell r="C37" t="str">
            <v>Weekend</v>
          </cell>
        </row>
        <row r="38">
          <cell r="C38" t="str">
            <v>Weekend</v>
          </cell>
        </row>
      </sheetData>
      <sheetData sheetId="14">
        <row r="9">
          <cell r="C9" t="str">
            <v>Skema 1</v>
          </cell>
        </row>
        <row r="10">
          <cell r="C10" t="str">
            <v>Skema 1</v>
          </cell>
        </row>
        <row r="11">
          <cell r="C11" t="str">
            <v>Skema 1</v>
          </cell>
        </row>
        <row r="12">
          <cell r="C12" t="str">
            <v>Skema 1</v>
          </cell>
        </row>
        <row r="13">
          <cell r="C13" t="str">
            <v>SH-dag</v>
          </cell>
        </row>
        <row r="14">
          <cell r="C14" t="str">
            <v>Weekend</v>
          </cell>
        </row>
        <row r="15">
          <cell r="C15" t="str">
            <v>Weekend</v>
          </cell>
        </row>
        <row r="16">
          <cell r="C16" t="str">
            <v>Skema 1</v>
          </cell>
        </row>
        <row r="17">
          <cell r="C17" t="str">
            <v>Skema 1</v>
          </cell>
        </row>
        <row r="18">
          <cell r="C18" t="str">
            <v>Skema 1</v>
          </cell>
        </row>
        <row r="19">
          <cell r="C19" t="str">
            <v>Skema 1</v>
          </cell>
        </row>
        <row r="20">
          <cell r="C20" t="str">
            <v>Skema 1</v>
          </cell>
        </row>
        <row r="21">
          <cell r="C21" t="str">
            <v>Weekend</v>
          </cell>
        </row>
        <row r="22">
          <cell r="C22" t="str">
            <v>Weekend</v>
          </cell>
        </row>
        <row r="23">
          <cell r="C23" t="str">
            <v>Skema 1</v>
          </cell>
        </row>
        <row r="24">
          <cell r="C24" t="str">
            <v>Skema 1</v>
          </cell>
        </row>
        <row r="25">
          <cell r="C25" t="str">
            <v>Skema 1</v>
          </cell>
        </row>
        <row r="26">
          <cell r="C26" t="str">
            <v>SH-dag</v>
          </cell>
        </row>
        <row r="27">
          <cell r="C27" t="str">
            <v>Skema 1</v>
          </cell>
        </row>
        <row r="28">
          <cell r="C28" t="str">
            <v>Weekend</v>
          </cell>
        </row>
        <row r="29">
          <cell r="C29" t="str">
            <v>Weekend</v>
          </cell>
        </row>
        <row r="30">
          <cell r="C30" t="str">
            <v>Skema 1</v>
          </cell>
        </row>
        <row r="31">
          <cell r="C31" t="str">
            <v>Skema 1</v>
          </cell>
        </row>
        <row r="32">
          <cell r="C32" t="str">
            <v>Skema 1</v>
          </cell>
        </row>
        <row r="33">
          <cell r="C33" t="str">
            <v>Skema 1</v>
          </cell>
        </row>
        <row r="34">
          <cell r="C34" t="str">
            <v>Skema 1</v>
          </cell>
        </row>
        <row r="35">
          <cell r="C35" t="str">
            <v>Weekend</v>
          </cell>
        </row>
        <row r="36">
          <cell r="C36" t="str">
            <v>Weekend</v>
          </cell>
        </row>
        <row r="37">
          <cell r="C37" t="str">
            <v>SH-dag</v>
          </cell>
        </row>
        <row r="38">
          <cell r="C38" t="str">
            <v>Skema 1</v>
          </cell>
        </row>
        <row r="39">
          <cell r="C39" t="str">
            <v>Skema 1</v>
          </cell>
        </row>
      </sheetData>
      <sheetData sheetId="15">
        <row r="9">
          <cell r="C9" t="str">
            <v>Skema 1</v>
          </cell>
        </row>
        <row r="10">
          <cell r="C10" t="str">
            <v>Skema 1</v>
          </cell>
        </row>
        <row r="11">
          <cell r="C11" t="str">
            <v>Weekend</v>
          </cell>
        </row>
        <row r="12">
          <cell r="C12" t="str">
            <v>Weekend</v>
          </cell>
        </row>
        <row r="13">
          <cell r="C13" t="str">
            <v>Nul-dag</v>
          </cell>
        </row>
        <row r="14">
          <cell r="C14" t="str">
            <v>Skema 1</v>
          </cell>
        </row>
        <row r="15">
          <cell r="C15" t="str">
            <v>Skema 1</v>
          </cell>
        </row>
        <row r="16">
          <cell r="C16" t="str">
            <v>Skema 1</v>
          </cell>
        </row>
        <row r="17">
          <cell r="C17" t="str">
            <v>Skema 1</v>
          </cell>
        </row>
        <row r="18">
          <cell r="C18" t="str">
            <v>Weekend</v>
          </cell>
        </row>
        <row r="19">
          <cell r="C19" t="str">
            <v>Weekend</v>
          </cell>
        </row>
        <row r="20">
          <cell r="C20" t="str">
            <v>Skema 1</v>
          </cell>
        </row>
        <row r="21">
          <cell r="C21" t="str">
            <v>Skema 1</v>
          </cell>
        </row>
        <row r="22">
          <cell r="C22" t="str">
            <v>Skema 1</v>
          </cell>
        </row>
        <row r="23">
          <cell r="C23" t="str">
            <v>Skema 1</v>
          </cell>
        </row>
        <row r="24">
          <cell r="C24" t="str">
            <v>Skema 1</v>
          </cell>
        </row>
        <row r="25">
          <cell r="C25" t="str">
            <v>Weekend</v>
          </cell>
        </row>
        <row r="26">
          <cell r="C26" t="str">
            <v>Weekend</v>
          </cell>
        </row>
        <row r="27">
          <cell r="C27" t="str">
            <v>Skema 1</v>
          </cell>
        </row>
        <row r="28">
          <cell r="C28" t="str">
            <v>Skema 1</v>
          </cell>
        </row>
        <row r="29">
          <cell r="C29" t="str">
            <v>Skema 1</v>
          </cell>
        </row>
        <row r="30">
          <cell r="C30" t="str">
            <v>Skema 1</v>
          </cell>
        </row>
        <row r="31">
          <cell r="C31" t="str">
            <v>Skema 1</v>
          </cell>
        </row>
        <row r="32">
          <cell r="C32" t="str">
            <v>Weekend</v>
          </cell>
        </row>
        <row r="33">
          <cell r="C33" t="str">
            <v>Weekend</v>
          </cell>
        </row>
        <row r="34">
          <cell r="C34" t="str">
            <v>Nul-dag</v>
          </cell>
        </row>
        <row r="35">
          <cell r="C35" t="str">
            <v>Nul-dag</v>
          </cell>
        </row>
        <row r="36">
          <cell r="C36" t="str">
            <v>Nul-dag</v>
          </cell>
        </row>
        <row r="37">
          <cell r="C37" t="str">
            <v>Nul-dag</v>
          </cell>
        </row>
        <row r="38">
          <cell r="C38" t="str">
            <v>Nul-dag</v>
          </cell>
        </row>
      </sheetData>
      <sheetData sheetId="16">
        <row r="9">
          <cell r="C9" t="str">
            <v>Weekend</v>
          </cell>
        </row>
        <row r="10">
          <cell r="C10" t="str">
            <v>Weekend</v>
          </cell>
        </row>
        <row r="11">
          <cell r="C11" t="str">
            <v>Nul-dag</v>
          </cell>
        </row>
        <row r="12">
          <cell r="C12" t="str">
            <v>Nul-dag</v>
          </cell>
        </row>
        <row r="13">
          <cell r="C13" t="str">
            <v>Nul-dag</v>
          </cell>
        </row>
        <row r="14">
          <cell r="C14" t="str">
            <v>Feriedag</v>
          </cell>
        </row>
        <row r="15">
          <cell r="C15" t="str">
            <v>Feriedag</v>
          </cell>
        </row>
        <row r="16">
          <cell r="C16" t="str">
            <v>Weekend</v>
          </cell>
        </row>
        <row r="17">
          <cell r="C17" t="str">
            <v>Weekend</v>
          </cell>
        </row>
        <row r="18">
          <cell r="C18" t="str">
            <v>Feriedag</v>
          </cell>
        </row>
        <row r="19">
          <cell r="C19" t="str">
            <v>Feriedag</v>
          </cell>
        </row>
        <row r="20">
          <cell r="C20" t="str">
            <v>Feriedag</v>
          </cell>
        </row>
        <row r="21">
          <cell r="C21" t="str">
            <v>Feriedag</v>
          </cell>
        </row>
        <row r="22">
          <cell r="C22" t="str">
            <v>Feriedag</v>
          </cell>
        </row>
        <row r="23">
          <cell r="C23" t="str">
            <v>Weekend</v>
          </cell>
        </row>
        <row r="24">
          <cell r="C24" t="str">
            <v>Weekend</v>
          </cell>
        </row>
        <row r="25">
          <cell r="C25" t="str">
            <v>Feriedag</v>
          </cell>
        </row>
        <row r="26">
          <cell r="C26" t="str">
            <v>Feriedag</v>
          </cell>
        </row>
        <row r="27">
          <cell r="C27" t="str">
            <v>Feriedag</v>
          </cell>
        </row>
        <row r="28">
          <cell r="C28" t="str">
            <v>Feriedag</v>
          </cell>
        </row>
        <row r="29">
          <cell r="C29" t="str">
            <v>Feriedag</v>
          </cell>
        </row>
        <row r="30">
          <cell r="C30" t="str">
            <v>Weekend</v>
          </cell>
        </row>
        <row r="31">
          <cell r="C31" t="str">
            <v>Weekend</v>
          </cell>
        </row>
        <row r="32">
          <cell r="C32" t="str">
            <v>Feriedag</v>
          </cell>
        </row>
        <row r="33">
          <cell r="C33" t="str">
            <v>Feriedag</v>
          </cell>
        </row>
        <row r="34">
          <cell r="C34" t="str">
            <v>Feriedag</v>
          </cell>
        </row>
        <row r="35">
          <cell r="C35" t="str">
            <v>Feriedag</v>
          </cell>
        </row>
        <row r="36">
          <cell r="C36" t="str">
            <v>Feriedag</v>
          </cell>
        </row>
        <row r="37">
          <cell r="C37" t="str">
            <v>Weekend</v>
          </cell>
        </row>
        <row r="38">
          <cell r="C38" t="str">
            <v>Weekend</v>
          </cell>
        </row>
        <row r="39">
          <cell r="C39" t="str">
            <v>Feriedag</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jledning2015"/>
      <sheetName val="Maaned"/>
      <sheetName val="Aar"/>
      <sheetName val="1.halvaar"/>
      <sheetName val="2.halvaar"/>
      <sheetName val="Aar (tom)"/>
      <sheetName val="1.halvaar (tom)"/>
      <sheetName val="2.halvaar (tom)"/>
      <sheetName val="Minikalender"/>
    </sheetNames>
    <sheetDataSet>
      <sheetData sheetId="0"/>
      <sheetData sheetId="1">
        <row r="3">
          <cell r="A3">
            <v>2015</v>
          </cell>
        </row>
        <row r="5">
          <cell r="C5" t="str">
            <v>lø</v>
          </cell>
          <cell r="H5" t="str">
            <v>ti</v>
          </cell>
          <cell r="M5" t="str">
            <v>to</v>
          </cell>
          <cell r="R5" t="str">
            <v>sø</v>
          </cell>
          <cell r="W5" t="str">
            <v>ti</v>
          </cell>
          <cell r="AB5" t="str">
            <v>fr</v>
          </cell>
          <cell r="AG5" t="str">
            <v>ma</v>
          </cell>
          <cell r="AL5" t="str">
            <v>ti</v>
          </cell>
          <cell r="AQ5" t="str">
            <v>fr</v>
          </cell>
          <cell r="AR5" t="str">
            <v>skoledag</v>
          </cell>
          <cell r="AV5" t="str">
            <v>sø</v>
          </cell>
          <cell r="BA5" t="str">
            <v>on</v>
          </cell>
          <cell r="BF5" t="str">
            <v>fr</v>
          </cell>
        </row>
        <row r="6">
          <cell r="C6" t="str">
            <v>sø</v>
          </cell>
          <cell r="H6" t="str">
            <v>on</v>
          </cell>
          <cell r="M6" t="str">
            <v>fr</v>
          </cell>
          <cell r="R6" t="str">
            <v>ma</v>
          </cell>
          <cell r="W6" t="str">
            <v>on</v>
          </cell>
          <cell r="AB6" t="str">
            <v>lø</v>
          </cell>
          <cell r="AG6" t="str">
            <v>ti</v>
          </cell>
          <cell r="AL6" t="str">
            <v>on</v>
          </cell>
          <cell r="AQ6" t="str">
            <v>lø</v>
          </cell>
          <cell r="AR6" t="str">
            <v>fridag</v>
          </cell>
          <cell r="AV6" t="str">
            <v>ma</v>
          </cell>
          <cell r="BA6" t="str">
            <v>to</v>
          </cell>
          <cell r="BF6" t="str">
            <v>lø</v>
          </cell>
        </row>
        <row r="7">
          <cell r="C7" t="str">
            <v>ma</v>
          </cell>
          <cell r="H7" t="str">
            <v>to</v>
          </cell>
          <cell r="M7" t="str">
            <v>lø</v>
          </cell>
          <cell r="R7" t="str">
            <v>ti</v>
          </cell>
          <cell r="W7" t="str">
            <v>to</v>
          </cell>
          <cell r="AB7" t="str">
            <v>sø</v>
          </cell>
          <cell r="AG7" t="str">
            <v>on</v>
          </cell>
          <cell r="AL7" t="str">
            <v>to</v>
          </cell>
          <cell r="AQ7" t="str">
            <v>sø</v>
          </cell>
          <cell r="AR7" t="str">
            <v>fridag</v>
          </cell>
          <cell r="AV7" t="str">
            <v>ti</v>
          </cell>
          <cell r="BA7" t="str">
            <v>fr</v>
          </cell>
          <cell r="BF7" t="str">
            <v>sø</v>
          </cell>
        </row>
        <row r="8">
          <cell r="C8" t="str">
            <v>ti</v>
          </cell>
          <cell r="H8" t="str">
            <v>fr</v>
          </cell>
          <cell r="M8" t="str">
            <v>sø</v>
          </cell>
          <cell r="R8" t="str">
            <v>on</v>
          </cell>
          <cell r="W8" t="str">
            <v>fr</v>
          </cell>
          <cell r="AB8" t="str">
            <v>ma</v>
          </cell>
          <cell r="AG8" t="str">
            <v>to</v>
          </cell>
          <cell r="AL8" t="str">
            <v>fr</v>
          </cell>
          <cell r="AQ8" t="str">
            <v>ma</v>
          </cell>
          <cell r="AR8" t="str">
            <v>skoledag</v>
          </cell>
          <cell r="AV8" t="str">
            <v>on</v>
          </cell>
          <cell r="BA8" t="str">
            <v>lø</v>
          </cell>
          <cell r="BF8" t="str">
            <v>ma</v>
          </cell>
        </row>
        <row r="9">
          <cell r="C9" t="str">
            <v>on</v>
          </cell>
          <cell r="H9" t="str">
            <v>lø</v>
          </cell>
          <cell r="M9" t="str">
            <v>ma</v>
          </cell>
          <cell r="R9" t="str">
            <v>to</v>
          </cell>
          <cell r="W9" t="str">
            <v>lø</v>
          </cell>
          <cell r="AB9" t="str">
            <v>ti</v>
          </cell>
          <cell r="AG9" t="str">
            <v>fr</v>
          </cell>
          <cell r="AL9" t="str">
            <v>lø</v>
          </cell>
          <cell r="AQ9" t="str">
            <v>ti</v>
          </cell>
          <cell r="AR9" t="str">
            <v>skoledag</v>
          </cell>
          <cell r="AV9" t="str">
            <v>to</v>
          </cell>
          <cell r="BA9" t="str">
            <v>sø</v>
          </cell>
          <cell r="BF9" t="str">
            <v>ti</v>
          </cell>
        </row>
        <row r="10">
          <cell r="C10" t="str">
            <v>to</v>
          </cell>
          <cell r="H10" t="str">
            <v>sø</v>
          </cell>
          <cell r="M10" t="str">
            <v>ti</v>
          </cell>
          <cell r="R10" t="str">
            <v>fr</v>
          </cell>
          <cell r="W10" t="str">
            <v>sø</v>
          </cell>
          <cell r="AB10" t="str">
            <v>on</v>
          </cell>
          <cell r="AG10" t="str">
            <v>lø</v>
          </cell>
          <cell r="AL10" t="str">
            <v>sø</v>
          </cell>
          <cell r="AQ10" t="str">
            <v>on</v>
          </cell>
          <cell r="AR10" t="str">
            <v>skoledag</v>
          </cell>
          <cell r="AV10" t="str">
            <v>fr</v>
          </cell>
          <cell r="BA10" t="str">
            <v>ma</v>
          </cell>
          <cell r="BF10" t="str">
            <v>on</v>
          </cell>
        </row>
        <row r="11">
          <cell r="C11" t="str">
            <v>fr</v>
          </cell>
          <cell r="H11" t="str">
            <v>ma</v>
          </cell>
          <cell r="M11" t="str">
            <v>on</v>
          </cell>
          <cell r="R11" t="str">
            <v>lø</v>
          </cell>
          <cell r="W11" t="str">
            <v>ma</v>
          </cell>
          <cell r="AB11" t="str">
            <v>to</v>
          </cell>
          <cell r="AG11" t="str">
            <v>sø</v>
          </cell>
          <cell r="AL11" t="str">
            <v>ma</v>
          </cell>
          <cell r="AQ11" t="str">
            <v>to</v>
          </cell>
          <cell r="AR11" t="str">
            <v>skoledag</v>
          </cell>
          <cell r="AV11" t="str">
            <v>lø</v>
          </cell>
          <cell r="BA11" t="str">
            <v>ti</v>
          </cell>
          <cell r="BF11" t="str">
            <v>to</v>
          </cell>
        </row>
        <row r="12">
          <cell r="C12" t="str">
            <v>lø</v>
          </cell>
          <cell r="H12" t="str">
            <v>ti</v>
          </cell>
          <cell r="M12" t="str">
            <v>to</v>
          </cell>
          <cell r="R12" t="str">
            <v>sø</v>
          </cell>
          <cell r="W12" t="str">
            <v>ti</v>
          </cell>
          <cell r="AB12" t="str">
            <v>fr</v>
          </cell>
          <cell r="AG12" t="str">
            <v>ma</v>
          </cell>
          <cell r="AL12" t="str">
            <v>ti</v>
          </cell>
          <cell r="AQ12" t="str">
            <v>fr</v>
          </cell>
          <cell r="AR12" t="str">
            <v>skoledag</v>
          </cell>
          <cell r="AV12" t="str">
            <v>sø</v>
          </cell>
          <cell r="BA12" t="str">
            <v>on</v>
          </cell>
          <cell r="BF12" t="str">
            <v>fr</v>
          </cell>
        </row>
        <row r="13">
          <cell r="C13" t="str">
            <v>sø</v>
          </cell>
          <cell r="H13" t="str">
            <v>on</v>
          </cell>
          <cell r="M13" t="str">
            <v>fr</v>
          </cell>
          <cell r="R13" t="str">
            <v>ma</v>
          </cell>
          <cell r="W13" t="str">
            <v>on</v>
          </cell>
          <cell r="AB13" t="str">
            <v>lø</v>
          </cell>
          <cell r="AG13" t="str">
            <v>ti</v>
          </cell>
          <cell r="AL13" t="str">
            <v>on</v>
          </cell>
          <cell r="AQ13" t="str">
            <v>lø</v>
          </cell>
          <cell r="AR13" t="str">
            <v>fridag</v>
          </cell>
          <cell r="AV13" t="str">
            <v>ma</v>
          </cell>
          <cell r="BA13" t="str">
            <v>to</v>
          </cell>
          <cell r="BF13" t="str">
            <v>lø</v>
          </cell>
        </row>
        <row r="14">
          <cell r="C14" t="str">
            <v>ma</v>
          </cell>
          <cell r="H14" t="str">
            <v>to</v>
          </cell>
          <cell r="M14" t="str">
            <v>lø</v>
          </cell>
          <cell r="R14" t="str">
            <v>ti</v>
          </cell>
          <cell r="W14" t="str">
            <v>to</v>
          </cell>
          <cell r="AB14" t="str">
            <v>sø</v>
          </cell>
          <cell r="AG14" t="str">
            <v>on</v>
          </cell>
          <cell r="AL14" t="str">
            <v>to</v>
          </cell>
          <cell r="AQ14" t="str">
            <v>sø</v>
          </cell>
          <cell r="AR14" t="str">
            <v>fridag</v>
          </cell>
          <cell r="AV14" t="str">
            <v>ti</v>
          </cell>
          <cell r="BA14" t="str">
            <v>fr</v>
          </cell>
          <cell r="BF14" t="str">
            <v>sø</v>
          </cell>
        </row>
        <row r="15">
          <cell r="C15" t="str">
            <v>ti</v>
          </cell>
          <cell r="H15" t="str">
            <v>fr</v>
          </cell>
          <cell r="M15" t="str">
            <v>sø</v>
          </cell>
          <cell r="R15" t="str">
            <v>on</v>
          </cell>
          <cell r="W15" t="str">
            <v>fr</v>
          </cell>
          <cell r="AB15" t="str">
            <v>ma</v>
          </cell>
          <cell r="AG15" t="str">
            <v>to</v>
          </cell>
          <cell r="AL15" t="str">
            <v>fr</v>
          </cell>
          <cell r="AQ15" t="str">
            <v>ma</v>
          </cell>
          <cell r="AR15" t="str">
            <v>skoledag</v>
          </cell>
          <cell r="AV15" t="str">
            <v>on</v>
          </cell>
          <cell r="BA15" t="str">
            <v>lø</v>
          </cell>
          <cell r="BF15" t="str">
            <v>ma</v>
          </cell>
        </row>
        <row r="16">
          <cell r="C16" t="str">
            <v>on</v>
          </cell>
          <cell r="H16" t="str">
            <v>lø</v>
          </cell>
          <cell r="M16" t="str">
            <v>ma</v>
          </cell>
          <cell r="R16" t="str">
            <v>to</v>
          </cell>
          <cell r="W16" t="str">
            <v>lø</v>
          </cell>
          <cell r="AB16" t="str">
            <v>ti</v>
          </cell>
          <cell r="AG16" t="str">
            <v>fr</v>
          </cell>
          <cell r="AL16" t="str">
            <v>lø</v>
          </cell>
          <cell r="AQ16" t="str">
            <v>ti</v>
          </cell>
          <cell r="AR16" t="str">
            <v>skoledag</v>
          </cell>
          <cell r="AV16" t="str">
            <v>to</v>
          </cell>
          <cell r="BA16" t="str">
            <v>sø</v>
          </cell>
          <cell r="BF16" t="str">
            <v>ti</v>
          </cell>
        </row>
        <row r="17">
          <cell r="C17" t="str">
            <v>to</v>
          </cell>
          <cell r="H17" t="str">
            <v>sø</v>
          </cell>
          <cell r="M17" t="str">
            <v>ti</v>
          </cell>
          <cell r="R17" t="str">
            <v>fr</v>
          </cell>
          <cell r="W17" t="str">
            <v>sø</v>
          </cell>
          <cell r="AB17" t="str">
            <v>on</v>
          </cell>
          <cell r="AG17" t="str">
            <v>lø</v>
          </cell>
          <cell r="AL17" t="str">
            <v>sø</v>
          </cell>
          <cell r="AQ17" t="str">
            <v>on</v>
          </cell>
          <cell r="AR17" t="str">
            <v>skoledag</v>
          </cell>
          <cell r="AV17" t="str">
            <v>fr</v>
          </cell>
          <cell r="BA17" t="str">
            <v>ma</v>
          </cell>
          <cell r="BF17" t="str">
            <v>on</v>
          </cell>
        </row>
        <row r="18">
          <cell r="C18" t="str">
            <v>fr</v>
          </cell>
          <cell r="H18" t="str">
            <v>ma</v>
          </cell>
          <cell r="M18" t="str">
            <v>on</v>
          </cell>
          <cell r="R18" t="str">
            <v>lø</v>
          </cell>
          <cell r="W18" t="str">
            <v>ma</v>
          </cell>
          <cell r="AB18" t="str">
            <v>to</v>
          </cell>
          <cell r="AG18" t="str">
            <v>sø</v>
          </cell>
          <cell r="AL18" t="str">
            <v>ma</v>
          </cell>
          <cell r="AQ18" t="str">
            <v>to</v>
          </cell>
          <cell r="AR18" t="str">
            <v>skoledag</v>
          </cell>
          <cell r="AV18" t="str">
            <v>lø</v>
          </cell>
          <cell r="BA18" t="str">
            <v>ti</v>
          </cell>
          <cell r="BF18" t="str">
            <v>to</v>
          </cell>
        </row>
        <row r="19">
          <cell r="C19" t="str">
            <v>lø</v>
          </cell>
          <cell r="H19" t="str">
            <v>ti</v>
          </cell>
          <cell r="M19" t="str">
            <v>to</v>
          </cell>
          <cell r="R19" t="str">
            <v>sø</v>
          </cell>
          <cell r="W19" t="str">
            <v>ti</v>
          </cell>
          <cell r="AB19" t="str">
            <v>fr</v>
          </cell>
          <cell r="AG19" t="str">
            <v>ma</v>
          </cell>
          <cell r="AL19" t="str">
            <v>ti</v>
          </cell>
          <cell r="AQ19" t="str">
            <v>fr</v>
          </cell>
          <cell r="AR19" t="str">
            <v>skoledag</v>
          </cell>
          <cell r="AV19" t="str">
            <v>sø</v>
          </cell>
          <cell r="BA19" t="str">
            <v>on</v>
          </cell>
          <cell r="BF19" t="str">
            <v>fr</v>
          </cell>
        </row>
        <row r="20">
          <cell r="C20" t="str">
            <v>sø</v>
          </cell>
          <cell r="H20" t="str">
            <v>on</v>
          </cell>
          <cell r="M20" t="str">
            <v>fr</v>
          </cell>
          <cell r="R20" t="str">
            <v>ma</v>
          </cell>
          <cell r="W20" t="str">
            <v>on</v>
          </cell>
          <cell r="AB20" t="str">
            <v>lø</v>
          </cell>
          <cell r="AG20" t="str">
            <v>ti</v>
          </cell>
          <cell r="AL20" t="str">
            <v>on</v>
          </cell>
          <cell r="AQ20" t="str">
            <v>lø</v>
          </cell>
          <cell r="AR20" t="str">
            <v>fridag</v>
          </cell>
          <cell r="AV20" t="str">
            <v>ma</v>
          </cell>
          <cell r="BA20" t="str">
            <v>to</v>
          </cell>
          <cell r="BF20" t="str">
            <v>lø</v>
          </cell>
        </row>
        <row r="21">
          <cell r="C21" t="str">
            <v>ma</v>
          </cell>
          <cell r="H21" t="str">
            <v>to</v>
          </cell>
          <cell r="M21" t="str">
            <v>lø</v>
          </cell>
          <cell r="R21" t="str">
            <v>ti</v>
          </cell>
          <cell r="W21" t="str">
            <v>to</v>
          </cell>
          <cell r="AB21" t="str">
            <v>sø</v>
          </cell>
          <cell r="AG21" t="str">
            <v>on</v>
          </cell>
          <cell r="AL21" t="str">
            <v>to</v>
          </cell>
          <cell r="AQ21" t="str">
            <v>sø</v>
          </cell>
          <cell r="AR21" t="str">
            <v>fridag</v>
          </cell>
          <cell r="AV21" t="str">
            <v>ti</v>
          </cell>
          <cell r="BA21" t="str">
            <v>fr</v>
          </cell>
          <cell r="BF21" t="str">
            <v>sø</v>
          </cell>
        </row>
        <row r="22">
          <cell r="C22" t="str">
            <v>ti</v>
          </cell>
          <cell r="H22" t="str">
            <v>fr</v>
          </cell>
          <cell r="M22" t="str">
            <v>sø</v>
          </cell>
          <cell r="R22" t="str">
            <v>on</v>
          </cell>
          <cell r="W22" t="str">
            <v>fr</v>
          </cell>
          <cell r="AB22" t="str">
            <v>ma</v>
          </cell>
          <cell r="AG22" t="str">
            <v>to</v>
          </cell>
          <cell r="AL22" t="str">
            <v>fr</v>
          </cell>
          <cell r="AQ22" t="str">
            <v>ma</v>
          </cell>
          <cell r="AR22" t="str">
            <v>skoledag</v>
          </cell>
          <cell r="AV22" t="str">
            <v>on</v>
          </cell>
          <cell r="BA22" t="str">
            <v>lø</v>
          </cell>
          <cell r="BF22" t="str">
            <v>ma</v>
          </cell>
        </row>
        <row r="23">
          <cell r="C23" t="str">
            <v>on</v>
          </cell>
          <cell r="H23" t="str">
            <v>lø</v>
          </cell>
          <cell r="M23" t="str">
            <v>ma</v>
          </cell>
          <cell r="R23" t="str">
            <v>to</v>
          </cell>
          <cell r="W23" t="str">
            <v>lø</v>
          </cell>
          <cell r="AB23" t="str">
            <v>ti</v>
          </cell>
          <cell r="AG23" t="str">
            <v>fr</v>
          </cell>
          <cell r="AL23" t="str">
            <v>lø</v>
          </cell>
          <cell r="AQ23" t="str">
            <v>ti</v>
          </cell>
          <cell r="AR23" t="str">
            <v>skoledag</v>
          </cell>
          <cell r="AV23" t="str">
            <v>to</v>
          </cell>
          <cell r="BA23" t="str">
            <v>sø</v>
          </cell>
          <cell r="BF23" t="str">
            <v>ti</v>
          </cell>
        </row>
        <row r="24">
          <cell r="C24" t="str">
            <v>to</v>
          </cell>
          <cell r="H24" t="str">
            <v>sø</v>
          </cell>
          <cell r="M24" t="str">
            <v>ti</v>
          </cell>
          <cell r="R24" t="str">
            <v>fr</v>
          </cell>
          <cell r="W24" t="str">
            <v>sø</v>
          </cell>
          <cell r="AB24" t="str">
            <v>on</v>
          </cell>
          <cell r="AG24" t="str">
            <v>lø</v>
          </cell>
          <cell r="AL24" t="str">
            <v>sø</v>
          </cell>
          <cell r="AQ24" t="str">
            <v>on</v>
          </cell>
          <cell r="AR24" t="str">
            <v>skoledag</v>
          </cell>
          <cell r="AV24" t="str">
            <v>fr</v>
          </cell>
          <cell r="BA24" t="str">
            <v>ma</v>
          </cell>
          <cell r="BF24" t="str">
            <v>on</v>
          </cell>
        </row>
        <row r="25">
          <cell r="C25" t="str">
            <v>fr</v>
          </cell>
          <cell r="H25" t="str">
            <v>ma</v>
          </cell>
          <cell r="M25" t="str">
            <v>on</v>
          </cell>
          <cell r="R25" t="str">
            <v>lø</v>
          </cell>
          <cell r="W25" t="str">
            <v>ma</v>
          </cell>
          <cell r="AB25" t="str">
            <v>to</v>
          </cell>
          <cell r="AG25" t="str">
            <v>sø</v>
          </cell>
          <cell r="AL25" t="str">
            <v>ma</v>
          </cell>
          <cell r="AQ25" t="str">
            <v>to</v>
          </cell>
          <cell r="AR25" t="str">
            <v>skoledag</v>
          </cell>
          <cell r="AV25" t="str">
            <v>lø</v>
          </cell>
          <cell r="BA25" t="str">
            <v>ti</v>
          </cell>
          <cell r="BF25" t="str">
            <v>to</v>
          </cell>
        </row>
        <row r="26">
          <cell r="C26" t="str">
            <v>lø</v>
          </cell>
          <cell r="H26" t="str">
            <v>ti</v>
          </cell>
          <cell r="M26" t="str">
            <v>to</v>
          </cell>
          <cell r="R26" t="str">
            <v>sø</v>
          </cell>
          <cell r="W26" t="str">
            <v>ti</v>
          </cell>
          <cell r="AB26" t="str">
            <v>fr</v>
          </cell>
          <cell r="AG26" t="str">
            <v>ma</v>
          </cell>
          <cell r="AL26" t="str">
            <v>ti</v>
          </cell>
          <cell r="AQ26" t="str">
            <v>fr</v>
          </cell>
          <cell r="AR26" t="str">
            <v>fridag</v>
          </cell>
          <cell r="AV26" t="str">
            <v>sø</v>
          </cell>
          <cell r="BA26" t="str">
            <v>on</v>
          </cell>
          <cell r="BF26" t="str">
            <v>fr</v>
          </cell>
        </row>
        <row r="27">
          <cell r="C27" t="str">
            <v>sø</v>
          </cell>
          <cell r="H27" t="str">
            <v>on</v>
          </cell>
          <cell r="M27" t="str">
            <v>fr</v>
          </cell>
          <cell r="R27" t="str">
            <v>ma</v>
          </cell>
          <cell r="W27" t="str">
            <v>on</v>
          </cell>
          <cell r="AB27" t="str">
            <v>lø</v>
          </cell>
          <cell r="AG27" t="str">
            <v>ti</v>
          </cell>
          <cell r="AL27" t="str">
            <v>on</v>
          </cell>
          <cell r="AQ27" t="str">
            <v>lø</v>
          </cell>
          <cell r="AR27" t="str">
            <v>fridag</v>
          </cell>
          <cell r="AV27" t="str">
            <v>ma</v>
          </cell>
          <cell r="BA27" t="str">
            <v>to</v>
          </cell>
          <cell r="BF27" t="str">
            <v>lø</v>
          </cell>
        </row>
        <row r="28">
          <cell r="C28" t="str">
            <v>ma</v>
          </cell>
          <cell r="H28" t="str">
            <v>to</v>
          </cell>
          <cell r="M28" t="str">
            <v>lø</v>
          </cell>
          <cell r="R28" t="str">
            <v>ti</v>
          </cell>
          <cell r="W28" t="str">
            <v>to</v>
          </cell>
          <cell r="AB28" t="str">
            <v>sø</v>
          </cell>
          <cell r="AG28" t="str">
            <v>on</v>
          </cell>
          <cell r="AL28" t="str">
            <v>to</v>
          </cell>
          <cell r="AQ28" t="str">
            <v>sø</v>
          </cell>
          <cell r="AR28" t="str">
            <v>fridag</v>
          </cell>
          <cell r="AV28" t="str">
            <v>ti</v>
          </cell>
          <cell r="BA28" t="str">
            <v>fr</v>
          </cell>
          <cell r="BF28" t="str">
            <v>sø</v>
          </cell>
        </row>
        <row r="29">
          <cell r="C29" t="str">
            <v>ti</v>
          </cell>
          <cell r="H29" t="str">
            <v>fr</v>
          </cell>
          <cell r="M29" t="str">
            <v>sø</v>
          </cell>
          <cell r="R29" t="str">
            <v>on</v>
          </cell>
          <cell r="W29" t="str">
            <v>fr</v>
          </cell>
          <cell r="AB29" t="str">
            <v>ma</v>
          </cell>
          <cell r="AG29" t="str">
            <v>to</v>
          </cell>
          <cell r="AL29" t="str">
            <v>fr</v>
          </cell>
          <cell r="AQ29" t="str">
            <v>ma</v>
          </cell>
          <cell r="AR29" t="str">
            <v>skoledag</v>
          </cell>
          <cell r="AV29" t="str">
            <v>on</v>
          </cell>
          <cell r="BA29" t="str">
            <v>lø</v>
          </cell>
          <cell r="BF29" t="str">
            <v>ma</v>
          </cell>
        </row>
        <row r="30">
          <cell r="C30" t="str">
            <v>on</v>
          </cell>
          <cell r="H30" t="str">
            <v>lø</v>
          </cell>
          <cell r="M30" t="str">
            <v>ma</v>
          </cell>
          <cell r="R30" t="str">
            <v>to</v>
          </cell>
          <cell r="W30" t="str">
            <v>lø</v>
          </cell>
          <cell r="AB30" t="str">
            <v>ti</v>
          </cell>
          <cell r="AG30" t="str">
            <v>fr</v>
          </cell>
          <cell r="AL30" t="str">
            <v>lø</v>
          </cell>
          <cell r="AQ30" t="str">
            <v>ti</v>
          </cell>
          <cell r="AR30" t="str">
            <v>skoledag</v>
          </cell>
          <cell r="AV30" t="str">
            <v>to</v>
          </cell>
          <cell r="BA30" t="str">
            <v>sø</v>
          </cell>
          <cell r="BF30" t="str">
            <v>ti</v>
          </cell>
        </row>
        <row r="31">
          <cell r="C31" t="str">
            <v>to</v>
          </cell>
          <cell r="H31" t="str">
            <v>sø</v>
          </cell>
          <cell r="M31" t="str">
            <v>ti</v>
          </cell>
          <cell r="R31" t="str">
            <v>fr</v>
          </cell>
          <cell r="W31" t="str">
            <v>sø</v>
          </cell>
          <cell r="AB31" t="str">
            <v>on</v>
          </cell>
          <cell r="AG31" t="str">
            <v>lø</v>
          </cell>
          <cell r="AL31" t="str">
            <v>sø</v>
          </cell>
          <cell r="AQ31" t="str">
            <v>on</v>
          </cell>
          <cell r="AR31" t="str">
            <v>skoledag</v>
          </cell>
          <cell r="AV31" t="str">
            <v>fr</v>
          </cell>
          <cell r="BA31" t="str">
            <v>ma</v>
          </cell>
          <cell r="BF31" t="str">
            <v>on</v>
          </cell>
        </row>
        <row r="32">
          <cell r="C32" t="str">
            <v>fr</v>
          </cell>
          <cell r="H32" t="str">
            <v>ma</v>
          </cell>
          <cell r="M32" t="str">
            <v>on</v>
          </cell>
          <cell r="R32" t="str">
            <v>lø</v>
          </cell>
          <cell r="W32" t="str">
            <v>ma</v>
          </cell>
          <cell r="AB32" t="str">
            <v>to</v>
          </cell>
          <cell r="AG32" t="str">
            <v>sø</v>
          </cell>
          <cell r="AL32" t="str">
            <v>ma</v>
          </cell>
          <cell r="AQ32" t="str">
            <v>to</v>
          </cell>
          <cell r="AR32" t="str">
            <v>skoledag</v>
          </cell>
          <cell r="AV32" t="str">
            <v>lø</v>
          </cell>
          <cell r="BA32" t="str">
            <v>ti</v>
          </cell>
          <cell r="BF32" t="str">
            <v>to</v>
          </cell>
        </row>
        <row r="33">
          <cell r="C33" t="str">
            <v>lø</v>
          </cell>
          <cell r="H33" t="str">
            <v>ti</v>
          </cell>
          <cell r="M33" t="str">
            <v>to</v>
          </cell>
          <cell r="R33" t="str">
            <v>sø</v>
          </cell>
          <cell r="W33" t="str">
            <v>ti</v>
          </cell>
          <cell r="AB33" t="str">
            <v>fr</v>
          </cell>
          <cell r="AG33" t="str">
            <v>ma</v>
          </cell>
          <cell r="AL33" t="str">
            <v>ti</v>
          </cell>
          <cell r="AQ33" t="str">
            <v>fr</v>
          </cell>
          <cell r="AR33" t="str">
            <v>skoledag</v>
          </cell>
          <cell r="AV33" t="str">
            <v>sø</v>
          </cell>
          <cell r="BA33" t="str">
            <v>on</v>
          </cell>
          <cell r="BF33" t="str">
            <v>fr</v>
          </cell>
        </row>
        <row r="34">
          <cell r="C34" t="str">
            <v>sø</v>
          </cell>
          <cell r="H34" t="str">
            <v>on</v>
          </cell>
          <cell r="M34" t="str">
            <v>fr</v>
          </cell>
          <cell r="R34" t="str">
            <v>ma</v>
          </cell>
          <cell r="W34" t="str">
            <v>on</v>
          </cell>
          <cell r="AB34" t="str">
            <v>lø</v>
          </cell>
          <cell r="AL34" t="str">
            <v>on</v>
          </cell>
          <cell r="AQ34" t="str">
            <v>lø</v>
          </cell>
          <cell r="AR34" t="str">
            <v>fridag</v>
          </cell>
          <cell r="AV34" t="str">
            <v>ma</v>
          </cell>
          <cell r="BA34" t="str">
            <v>to</v>
          </cell>
          <cell r="BF34" t="str">
            <v>lø</v>
          </cell>
        </row>
        <row r="35">
          <cell r="C35" t="str">
            <v>ma</v>
          </cell>
          <cell r="M35" t="str">
            <v>sø</v>
          </cell>
          <cell r="W35" t="str">
            <v>to</v>
          </cell>
          <cell r="AB35" t="str">
            <v>sø</v>
          </cell>
          <cell r="AL35" t="str">
            <v>to</v>
          </cell>
          <cell r="AV35" t="str">
            <v>ti</v>
          </cell>
          <cell r="BF35" t="str">
            <v>sø</v>
          </cell>
        </row>
      </sheetData>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Tove Dohn" id="{03EFE231-CE9D-A244-82D8-542BEB3CEA2E}" userId="S::tove@friskolerne.dk::cf832d71-50f8-4653-95bd-ced5cfa07810" providerId="AD"/>
</personList>
</file>

<file path=xl/theme/theme1.xml><?xml version="1.0" encoding="utf-8"?>
<a:theme xmlns:a="http://schemas.openxmlformats.org/drawingml/2006/main" name="Kontor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1-03-29T13:45:41.07" personId="{03EFE231-CE9D-A244-82D8-542BEB3CEA2E}" id="{5B0E033D-D670-F642-86FE-8C85A84C9E61}">
    <text>Klokkeslet fra tastes som feks. 06:30. Da excel kan opføre sig forskelligt kan det også være det er 06.30</text>
  </threadedComment>
</ThreadedComment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tabSelected="1" view="pageBreakPreview" zoomScale="150" zoomScaleNormal="100" zoomScaleSheetLayoutView="100" workbookViewId="0">
      <selection activeCell="A37" sqref="A37"/>
    </sheetView>
  </sheetViews>
  <sheetFormatPr baseColWidth="10" defaultRowHeight="16"/>
  <cols>
    <col min="1" max="1" width="67.28515625" customWidth="1"/>
  </cols>
  <sheetData>
    <row r="1" spans="1:1" ht="21">
      <c r="A1" s="44" t="s">
        <v>14</v>
      </c>
    </row>
    <row r="3" spans="1:1">
      <c r="A3" s="681" t="s">
        <v>41</v>
      </c>
    </row>
    <row r="4" spans="1:1" ht="20" customHeight="1">
      <c r="A4" s="681"/>
    </row>
    <row r="5" spans="1:1">
      <c r="A5" s="81" t="s">
        <v>272</v>
      </c>
    </row>
    <row r="7" spans="1:1">
      <c r="A7" s="684" t="s">
        <v>257</v>
      </c>
    </row>
    <row r="8" spans="1:1">
      <c r="A8" s="684"/>
    </row>
    <row r="10" spans="1:1">
      <c r="A10" s="97" t="s">
        <v>2</v>
      </c>
    </row>
    <row r="11" spans="1:1" ht="17" thickBot="1">
      <c r="A11" s="429"/>
    </row>
    <row r="12" spans="1:1">
      <c r="A12" s="430" t="s">
        <v>110</v>
      </c>
    </row>
    <row r="13" spans="1:1">
      <c r="A13" s="431" t="s">
        <v>108</v>
      </c>
    </row>
    <row r="14" spans="1:1" ht="17" thickBot="1">
      <c r="A14" s="432" t="s">
        <v>109</v>
      </c>
    </row>
    <row r="15" spans="1:1" s="82" customFormat="1" ht="17" thickBot="1"/>
    <row r="16" spans="1:1" s="82" customFormat="1">
      <c r="A16" s="84" t="s">
        <v>170</v>
      </c>
    </row>
    <row r="17" spans="1:1" s="82" customFormat="1" ht="32" customHeight="1">
      <c r="A17" s="504" t="s">
        <v>171</v>
      </c>
    </row>
    <row r="18" spans="1:1" s="82" customFormat="1" ht="35" customHeight="1">
      <c r="A18" s="504" t="s">
        <v>172</v>
      </c>
    </row>
    <row r="19" spans="1:1" s="82" customFormat="1">
      <c r="A19" s="85" t="s">
        <v>129</v>
      </c>
    </row>
    <row r="20" spans="1:1" s="82" customFormat="1" ht="16" customHeight="1">
      <c r="A20" s="691" t="s">
        <v>34</v>
      </c>
    </row>
    <row r="21" spans="1:1" s="82" customFormat="1">
      <c r="A21" s="691"/>
    </row>
    <row r="22" spans="1:1" s="82" customFormat="1">
      <c r="A22" s="86" t="s">
        <v>31</v>
      </c>
    </row>
    <row r="23" spans="1:1" s="82" customFormat="1" ht="16" customHeight="1">
      <c r="A23" s="691" t="s">
        <v>32</v>
      </c>
    </row>
    <row r="24" spans="1:1" s="82" customFormat="1">
      <c r="A24" s="691"/>
    </row>
    <row r="25" spans="1:1" s="82" customFormat="1" ht="16" customHeight="1">
      <c r="A25" s="691" t="s">
        <v>273</v>
      </c>
    </row>
    <row r="26" spans="1:1" s="82" customFormat="1">
      <c r="A26" s="691"/>
    </row>
    <row r="27" spans="1:1" s="82" customFormat="1" ht="69" customHeight="1">
      <c r="A27" s="691"/>
    </row>
    <row r="28" spans="1:1" s="82" customFormat="1">
      <c r="A28" s="87" t="s">
        <v>33</v>
      </c>
    </row>
    <row r="29" spans="1:1" s="82" customFormat="1" ht="16" customHeight="1">
      <c r="A29" s="691" t="s">
        <v>274</v>
      </c>
    </row>
    <row r="30" spans="1:1" s="82" customFormat="1" ht="31" customHeight="1">
      <c r="A30" s="691"/>
    </row>
    <row r="31" spans="1:1" s="82" customFormat="1">
      <c r="A31" s="543"/>
    </row>
    <row r="32" spans="1:1" s="82" customFormat="1" ht="17" thickBot="1">
      <c r="A32" s="83"/>
    </row>
    <row r="33" spans="1:1" s="82" customFormat="1" ht="1" customHeight="1" thickBot="1">
      <c r="A33" s="513" t="s">
        <v>173</v>
      </c>
    </row>
    <row r="34" spans="1:1" s="82" customFormat="1" ht="21" customHeight="1" thickBot="1">
      <c r="A34" s="642" t="s">
        <v>173</v>
      </c>
    </row>
    <row r="35" spans="1:1" s="82" customFormat="1">
      <c r="A35" s="685" t="s">
        <v>258</v>
      </c>
    </row>
    <row r="36" spans="1:1" s="82" customFormat="1" ht="72" customHeight="1">
      <c r="A36" s="686"/>
    </row>
    <row r="37" spans="1:1" s="82" customFormat="1">
      <c r="A37" s="514" t="s">
        <v>174</v>
      </c>
    </row>
    <row r="38" spans="1:1" ht="53" customHeight="1">
      <c r="A38" s="515" t="s">
        <v>255</v>
      </c>
    </row>
    <row r="39" spans="1:1">
      <c r="A39" s="88" t="s">
        <v>182</v>
      </c>
    </row>
    <row r="40" spans="1:1" ht="51" customHeight="1">
      <c r="A40" s="515" t="s">
        <v>256</v>
      </c>
    </row>
    <row r="41" spans="1:1">
      <c r="A41" s="692" t="s">
        <v>177</v>
      </c>
    </row>
    <row r="42" spans="1:1">
      <c r="A42" s="692"/>
    </row>
    <row r="43" spans="1:1">
      <c r="A43" s="88" t="s">
        <v>175</v>
      </c>
    </row>
    <row r="44" spans="1:1" ht="17" thickBot="1">
      <c r="A44" s="89" t="s">
        <v>176</v>
      </c>
    </row>
    <row r="45" spans="1:1" ht="16" customHeight="1" thickBot="1"/>
    <row r="46" spans="1:1">
      <c r="A46" s="91" t="s">
        <v>35</v>
      </c>
    </row>
    <row r="47" spans="1:1" ht="12" customHeight="1">
      <c r="A47" s="683" t="s">
        <v>259</v>
      </c>
    </row>
    <row r="48" spans="1:1" ht="43" customHeight="1">
      <c r="A48" s="683"/>
    </row>
    <row r="49" spans="1:1">
      <c r="A49" s="92" t="s">
        <v>184</v>
      </c>
    </row>
    <row r="50" spans="1:1">
      <c r="A50" s="93" t="s">
        <v>66</v>
      </c>
    </row>
    <row r="51" spans="1:1">
      <c r="A51" s="93" t="s">
        <v>36</v>
      </c>
    </row>
    <row r="52" spans="1:1">
      <c r="A52" s="93" t="s">
        <v>37</v>
      </c>
    </row>
    <row r="53" spans="1:1">
      <c r="A53" s="93" t="s">
        <v>139</v>
      </c>
    </row>
    <row r="54" spans="1:1">
      <c r="A54" s="93" t="s">
        <v>178</v>
      </c>
    </row>
    <row r="55" spans="1:1">
      <c r="A55" s="93" t="s">
        <v>179</v>
      </c>
    </row>
    <row r="56" spans="1:1" ht="16" customHeight="1">
      <c r="A56" s="682" t="s">
        <v>38</v>
      </c>
    </row>
    <row r="57" spans="1:1">
      <c r="A57" s="682"/>
    </row>
    <row r="58" spans="1:1" ht="17" thickBot="1">
      <c r="A58" s="542"/>
    </row>
    <row r="59" spans="1:1">
      <c r="A59" s="90" t="s">
        <v>39</v>
      </c>
    </row>
    <row r="60" spans="1:1" ht="69" thickBot="1">
      <c r="A60" s="643" t="s">
        <v>260</v>
      </c>
    </row>
    <row r="61" spans="1:1" ht="16" customHeight="1">
      <c r="A61" s="689" t="s">
        <v>40</v>
      </c>
    </row>
    <row r="62" spans="1:1">
      <c r="A62" s="690"/>
    </row>
    <row r="63" spans="1:1" ht="16" customHeight="1">
      <c r="A63" s="687" t="s">
        <v>185</v>
      </c>
    </row>
    <row r="64" spans="1:1">
      <c r="A64" s="687"/>
    </row>
    <row r="65" spans="1:1">
      <c r="A65" s="687"/>
    </row>
    <row r="66" spans="1:1" ht="67" customHeight="1" thickBot="1">
      <c r="A66" s="688"/>
    </row>
    <row r="67" spans="1:1">
      <c r="A67" s="81"/>
    </row>
    <row r="69" spans="1:1">
      <c r="A69" t="s">
        <v>4</v>
      </c>
    </row>
    <row r="70" spans="1:1">
      <c r="A70" t="s">
        <v>5</v>
      </c>
    </row>
  </sheetData>
  <sheetProtection sheet="1" objects="1" scenarios="1"/>
  <mergeCells count="12">
    <mergeCell ref="A63:A66"/>
    <mergeCell ref="A61:A62"/>
    <mergeCell ref="A20:A21"/>
    <mergeCell ref="A23:A24"/>
    <mergeCell ref="A25:A27"/>
    <mergeCell ref="A29:A30"/>
    <mergeCell ref="A41:A42"/>
    <mergeCell ref="A3:A4"/>
    <mergeCell ref="A56:A57"/>
    <mergeCell ref="A47:A48"/>
    <mergeCell ref="A7:A8"/>
    <mergeCell ref="A35:A36"/>
  </mergeCells>
  <phoneticPr fontId="25" type="noConversion"/>
  <pageMargins left="0.7" right="0.7" top="0.75" bottom="0.75" header="0.5" footer="0.5"/>
  <pageSetup scale="83" orientation="portrait" horizontalDpi="4294967292" verticalDpi="4294967292"/>
  <rowBreaks count="2" manualBreakCount="2">
    <brk id="31" max="16383" man="1"/>
    <brk id="6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G49"/>
  <sheetViews>
    <sheetView showGridLines="0" workbookViewId="0">
      <selection activeCell="AG33" sqref="AG33"/>
    </sheetView>
  </sheetViews>
  <sheetFormatPr baseColWidth="10" defaultColWidth="11.5703125" defaultRowHeight="16"/>
  <cols>
    <col min="1" max="1" width="6.28515625" style="7" customWidth="1"/>
    <col min="2" max="2" width="9.5703125" style="7" customWidth="1"/>
    <col min="3" max="32" width="5.85546875" style="7" customWidth="1"/>
    <col min="33" max="34" width="12.5703125" style="7" customWidth="1"/>
    <col min="35" max="16384" width="11.5703125" style="7"/>
  </cols>
  <sheetData>
    <row r="1" spans="1:32" ht="17" thickBot="1">
      <c r="A1" s="978" t="s">
        <v>106</v>
      </c>
      <c r="B1" s="980" t="s">
        <v>105</v>
      </c>
      <c r="C1" s="7" t="s">
        <v>42</v>
      </c>
    </row>
    <row r="2" spans="1:32" ht="15" customHeight="1" thickBot="1">
      <c r="A2" s="979"/>
      <c r="B2" s="981"/>
      <c r="C2" s="985" t="s">
        <v>6</v>
      </c>
      <c r="D2" s="986"/>
      <c r="E2" s="986"/>
      <c r="F2" s="986"/>
      <c r="G2" s="986"/>
      <c r="H2" s="987"/>
      <c r="I2" s="985" t="s">
        <v>10</v>
      </c>
      <c r="J2" s="986"/>
      <c r="K2" s="986"/>
      <c r="L2" s="986"/>
      <c r="M2" s="986"/>
      <c r="N2" s="987"/>
      <c r="O2" s="985" t="s">
        <v>11</v>
      </c>
      <c r="P2" s="986"/>
      <c r="Q2" s="986"/>
      <c r="R2" s="986"/>
      <c r="S2" s="986"/>
      <c r="T2" s="987"/>
      <c r="U2" s="985" t="s">
        <v>12</v>
      </c>
      <c r="V2" s="986"/>
      <c r="W2" s="986"/>
      <c r="X2" s="986"/>
      <c r="Y2" s="986"/>
      <c r="Z2" s="987"/>
      <c r="AA2" s="985" t="s">
        <v>13</v>
      </c>
      <c r="AB2" s="986"/>
      <c r="AC2" s="986"/>
      <c r="AD2" s="986"/>
      <c r="AE2" s="986"/>
      <c r="AF2" s="987"/>
    </row>
    <row r="3" spans="1:32" ht="17" thickBot="1">
      <c r="A3" s="8" t="s">
        <v>7</v>
      </c>
      <c r="B3" s="9"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72" t="s">
        <v>22</v>
      </c>
      <c r="B4" s="973"/>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0.33333333333333331</v>
      </c>
      <c r="B5" s="1"/>
      <c r="C5" s="20"/>
      <c r="D5" s="25"/>
      <c r="E5" s="30"/>
      <c r="F5" s="35"/>
      <c r="G5" s="40"/>
      <c r="H5" s="17"/>
      <c r="I5" s="20"/>
      <c r="J5" s="25"/>
      <c r="K5" s="30"/>
      <c r="L5" s="35"/>
      <c r="M5" s="40"/>
      <c r="N5" s="17"/>
      <c r="O5" s="20"/>
      <c r="P5" s="25"/>
      <c r="Q5" s="30"/>
      <c r="R5" s="35"/>
      <c r="S5" s="40"/>
      <c r="T5" s="17"/>
      <c r="U5" s="20"/>
      <c r="V5" s="25"/>
      <c r="W5" s="30"/>
      <c r="X5" s="35"/>
      <c r="Y5" s="40"/>
      <c r="Z5" s="17"/>
      <c r="AA5" s="20"/>
      <c r="AB5" s="25"/>
      <c r="AC5" s="30"/>
      <c r="AD5" s="35"/>
      <c r="AE5" s="40"/>
      <c r="AF5" s="17"/>
    </row>
    <row r="6" spans="1:32" ht="18" customHeight="1">
      <c r="A6" s="12">
        <f t="shared" ref="A6:A30" si="0">A5+B5/24/60</f>
        <v>0.33333333333333331</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0.33333333333333331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0.33333333333333331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0.33333333333333331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0.33333333333333331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0.33333333333333331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0.33333333333333331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0.33333333333333331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0.33333333333333331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0.33333333333333331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0.33333333333333331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0.33333333333333331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0.33333333333333331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0.33333333333333331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0.33333333333333331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0.33333333333333331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0.33333333333333331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0.33333333333333331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0.33333333333333331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0.33333333333333331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0.33333333333333331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0.33333333333333331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0.33333333333333331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0.33333333333333331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0.33333333333333331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95" t="s">
        <v>18</v>
      </c>
      <c r="B31" s="96"/>
      <c r="C31" s="96"/>
      <c r="D31" s="96"/>
      <c r="E31" s="96"/>
      <c r="F31" s="96"/>
      <c r="G31" s="96"/>
      <c r="H31" s="96"/>
      <c r="I31" s="96"/>
      <c r="J31" s="96"/>
      <c r="K31" s="96"/>
      <c r="L31" s="96"/>
      <c r="M31" s="96"/>
      <c r="N31" s="96"/>
      <c r="O31" s="96"/>
      <c r="P31" s="96"/>
      <c r="Q31" s="982"/>
      <c r="R31" s="983"/>
      <c r="S31" s="983"/>
      <c r="T31" s="983"/>
      <c r="U31" s="983"/>
      <c r="V31" s="983"/>
      <c r="W31" s="983"/>
      <c r="X31" s="983"/>
      <c r="Y31" s="983"/>
      <c r="Z31" s="983"/>
      <c r="AA31" s="983"/>
      <c r="AB31" s="983"/>
      <c r="AC31" s="983"/>
      <c r="AD31" s="983"/>
      <c r="AE31" s="983"/>
      <c r="AF31" s="983"/>
      <c r="AG31" s="984"/>
    </row>
    <row r="32" spans="1:33" ht="31" customHeight="1">
      <c r="A32" s="959" t="s">
        <v>0</v>
      </c>
      <c r="B32" s="960"/>
      <c r="C32" s="961" t="str">
        <f>C2</f>
        <v>Mandag</v>
      </c>
      <c r="D32" s="962"/>
      <c r="E32" s="962"/>
      <c r="F32" s="962"/>
      <c r="G32" s="962"/>
      <c r="H32" s="960"/>
      <c r="I32" s="961" t="str">
        <f>I2</f>
        <v>Tirsdag</v>
      </c>
      <c r="J32" s="962"/>
      <c r="K32" s="962"/>
      <c r="L32" s="962"/>
      <c r="M32" s="962"/>
      <c r="N32" s="960"/>
      <c r="O32" s="961" t="str">
        <f>O2</f>
        <v>Onsdag</v>
      </c>
      <c r="P32" s="962"/>
      <c r="Q32" s="963"/>
      <c r="R32" s="963"/>
      <c r="S32" s="963"/>
      <c r="T32" s="964"/>
      <c r="U32" s="965" t="str">
        <f>U2</f>
        <v>Torsdag</v>
      </c>
      <c r="V32" s="963"/>
      <c r="W32" s="963"/>
      <c r="X32" s="963"/>
      <c r="Y32" s="963"/>
      <c r="Z32" s="964"/>
      <c r="AA32" s="965" t="str">
        <f>AA2</f>
        <v>Fredag</v>
      </c>
      <c r="AB32" s="963"/>
      <c r="AC32" s="963"/>
      <c r="AD32" s="963"/>
      <c r="AE32" s="963"/>
      <c r="AF32" s="964"/>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59" t="s">
        <v>1</v>
      </c>
      <c r="B41" s="960"/>
      <c r="C41" s="961" t="str">
        <f>C2</f>
        <v>Mandag</v>
      </c>
      <c r="D41" s="962"/>
      <c r="E41" s="962"/>
      <c r="F41" s="962"/>
      <c r="G41" s="962"/>
      <c r="H41" s="960"/>
      <c r="I41" s="961" t="str">
        <f>I2</f>
        <v>Tirsdag</v>
      </c>
      <c r="J41" s="962"/>
      <c r="K41" s="962"/>
      <c r="L41" s="962"/>
      <c r="M41" s="962"/>
      <c r="N41" s="960"/>
      <c r="O41" s="961" t="str">
        <f>O2</f>
        <v>Onsdag</v>
      </c>
      <c r="P41" s="962"/>
      <c r="Q41" s="962"/>
      <c r="R41" s="962"/>
      <c r="S41" s="962"/>
      <c r="T41" s="960"/>
      <c r="U41" s="961" t="str">
        <f>U2</f>
        <v>Torsdag</v>
      </c>
      <c r="V41" s="962"/>
      <c r="W41" s="962"/>
      <c r="X41" s="962"/>
      <c r="Y41" s="962"/>
      <c r="Z41" s="960"/>
      <c r="AA41" s="961" t="str">
        <f>AA2</f>
        <v>Fredag</v>
      </c>
      <c r="AB41" s="962"/>
      <c r="AC41" s="962"/>
      <c r="AD41" s="962"/>
      <c r="AE41" s="962"/>
      <c r="AF41" s="962"/>
      <c r="AG41" s="427"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0</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C2:H2"/>
    <mergeCell ref="I2:N2"/>
    <mergeCell ref="O2:T2"/>
    <mergeCell ref="U2:Z2"/>
    <mergeCell ref="AA2:AF2"/>
    <mergeCell ref="A1:A2"/>
    <mergeCell ref="B1:B2"/>
    <mergeCell ref="A4:B4"/>
    <mergeCell ref="Q31:AG31"/>
    <mergeCell ref="AA41:AF41"/>
    <mergeCell ref="A41:B41"/>
    <mergeCell ref="C41:H41"/>
    <mergeCell ref="I41:N41"/>
    <mergeCell ref="O41:T41"/>
    <mergeCell ref="U41:Z41"/>
    <mergeCell ref="A32:B32"/>
    <mergeCell ref="C32:H32"/>
    <mergeCell ref="I32:N32"/>
    <mergeCell ref="O32:T32"/>
    <mergeCell ref="U32:Z32"/>
    <mergeCell ref="AA32:AF32"/>
  </mergeCells>
  <phoneticPr fontId="25" type="noConversion"/>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G49"/>
  <sheetViews>
    <sheetView showGridLines="0" topLeftCell="A18" workbookViewId="0">
      <selection activeCell="AG33" sqref="AG33"/>
    </sheetView>
  </sheetViews>
  <sheetFormatPr baseColWidth="10" defaultColWidth="11.5703125" defaultRowHeight="16"/>
  <cols>
    <col min="1" max="1" width="6.28515625" style="7" customWidth="1"/>
    <col min="2" max="2" width="10" style="7" customWidth="1"/>
    <col min="3" max="32" width="5.85546875" style="7" customWidth="1"/>
    <col min="33" max="34" width="12.5703125" style="7" customWidth="1"/>
    <col min="35" max="16384" width="11.5703125" style="7"/>
  </cols>
  <sheetData>
    <row r="1" spans="1:32" ht="17" thickBot="1">
      <c r="A1" s="978" t="s">
        <v>106</v>
      </c>
      <c r="B1" s="980" t="s">
        <v>105</v>
      </c>
      <c r="C1" s="7" t="s">
        <v>42</v>
      </c>
    </row>
    <row r="2" spans="1:32" ht="15" customHeight="1" thickBot="1">
      <c r="A2" s="988"/>
      <c r="B2" s="989"/>
      <c r="C2" s="985" t="s">
        <v>6</v>
      </c>
      <c r="D2" s="986"/>
      <c r="E2" s="986"/>
      <c r="F2" s="986"/>
      <c r="G2" s="986"/>
      <c r="H2" s="987"/>
      <c r="I2" s="985" t="s">
        <v>10</v>
      </c>
      <c r="J2" s="986"/>
      <c r="K2" s="986"/>
      <c r="L2" s="986"/>
      <c r="M2" s="986"/>
      <c r="N2" s="987"/>
      <c r="O2" s="985" t="s">
        <v>11</v>
      </c>
      <c r="P2" s="986"/>
      <c r="Q2" s="986"/>
      <c r="R2" s="986"/>
      <c r="S2" s="986"/>
      <c r="T2" s="987"/>
      <c r="U2" s="985" t="s">
        <v>12</v>
      </c>
      <c r="V2" s="986"/>
      <c r="W2" s="986"/>
      <c r="X2" s="986"/>
      <c r="Y2" s="986"/>
      <c r="Z2" s="987"/>
      <c r="AA2" s="985" t="s">
        <v>13</v>
      </c>
      <c r="AB2" s="986"/>
      <c r="AC2" s="986"/>
      <c r="AD2" s="986"/>
      <c r="AE2" s="986"/>
      <c r="AF2" s="987"/>
    </row>
    <row r="3" spans="1:32" ht="17" thickBot="1">
      <c r="A3" s="425" t="s">
        <v>7</v>
      </c>
      <c r="B3" s="426"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72" t="s">
        <v>22</v>
      </c>
      <c r="B4" s="973"/>
      <c r="C4" s="433">
        <v>1</v>
      </c>
      <c r="D4" s="434">
        <v>1</v>
      </c>
      <c r="E4" s="434">
        <v>1</v>
      </c>
      <c r="F4" s="434">
        <v>1</v>
      </c>
      <c r="G4" s="434">
        <v>1</v>
      </c>
      <c r="H4" s="435">
        <v>1</v>
      </c>
      <c r="I4" s="433">
        <v>1</v>
      </c>
      <c r="J4" s="434">
        <v>1</v>
      </c>
      <c r="K4" s="434">
        <v>1</v>
      </c>
      <c r="L4" s="434">
        <v>1</v>
      </c>
      <c r="M4" s="434">
        <v>1</v>
      </c>
      <c r="N4" s="435">
        <v>1</v>
      </c>
      <c r="O4" s="433">
        <v>1</v>
      </c>
      <c r="P4" s="434">
        <v>1</v>
      </c>
      <c r="Q4" s="434">
        <v>1</v>
      </c>
      <c r="R4" s="434">
        <v>1</v>
      </c>
      <c r="S4" s="434">
        <v>1</v>
      </c>
      <c r="T4" s="435">
        <v>1</v>
      </c>
      <c r="U4" s="433">
        <v>1</v>
      </c>
      <c r="V4" s="434">
        <v>1</v>
      </c>
      <c r="W4" s="434">
        <v>1</v>
      </c>
      <c r="X4" s="434">
        <v>1</v>
      </c>
      <c r="Y4" s="434">
        <v>1</v>
      </c>
      <c r="Z4" s="435">
        <v>1</v>
      </c>
      <c r="AA4" s="433">
        <v>1</v>
      </c>
      <c r="AB4" s="434">
        <v>1</v>
      </c>
      <c r="AC4" s="434">
        <v>1</v>
      </c>
      <c r="AD4" s="434">
        <v>1</v>
      </c>
      <c r="AE4" s="434">
        <v>1</v>
      </c>
      <c r="AF4" s="435">
        <v>1</v>
      </c>
    </row>
    <row r="5" spans="1:32" ht="18" customHeight="1">
      <c r="A5" s="18">
        <v>0.29166666666666669</v>
      </c>
      <c r="B5" s="1"/>
      <c r="C5" s="20"/>
      <c r="D5" s="25"/>
      <c r="E5" s="30"/>
      <c r="F5" s="35"/>
      <c r="G5" s="40"/>
      <c r="H5" s="17"/>
      <c r="I5" s="20"/>
      <c r="J5" s="25"/>
      <c r="K5" s="30"/>
      <c r="L5" s="35"/>
      <c r="M5" s="40"/>
      <c r="N5" s="17"/>
      <c r="O5" s="20"/>
      <c r="P5" s="25"/>
      <c r="Q5" s="30"/>
      <c r="R5" s="35"/>
      <c r="S5" s="40"/>
      <c r="T5" s="17"/>
      <c r="U5" s="20"/>
      <c r="V5" s="25"/>
      <c r="W5" s="30"/>
      <c r="X5" s="35"/>
      <c r="Y5" s="40"/>
      <c r="Z5" s="17"/>
      <c r="AA5" s="20"/>
      <c r="AB5" s="25"/>
      <c r="AC5" s="30"/>
      <c r="AD5" s="35"/>
      <c r="AE5" s="40"/>
      <c r="AF5" s="17"/>
    </row>
    <row r="6" spans="1:32" ht="18" customHeight="1">
      <c r="A6" s="12">
        <f t="shared" ref="A6:A30" si="0">A5+B5/24/60</f>
        <v>0.29166666666666669</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0.29166666666666669</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0.29166666666666669</v>
      </c>
      <c r="B8" s="2"/>
      <c r="C8" s="21"/>
      <c r="D8" s="26"/>
      <c r="E8" s="31"/>
      <c r="F8" s="36"/>
      <c r="G8" s="41"/>
      <c r="H8" s="4"/>
      <c r="I8" s="21"/>
      <c r="J8" s="26"/>
      <c r="K8" s="31"/>
      <c r="L8" s="36"/>
      <c r="M8" s="41"/>
      <c r="N8" s="4"/>
      <c r="O8" s="21"/>
      <c r="P8" s="26"/>
      <c r="Q8" s="31"/>
      <c r="R8" s="36"/>
      <c r="S8" s="41"/>
      <c r="T8" s="4"/>
      <c r="U8" s="21" t="s">
        <v>104</v>
      </c>
      <c r="V8" s="26"/>
      <c r="W8" s="31"/>
      <c r="X8" s="36"/>
      <c r="Y8" s="41"/>
      <c r="Z8" s="4"/>
      <c r="AA8" s="21" t="s">
        <v>104</v>
      </c>
      <c r="AB8" s="26"/>
      <c r="AC8" s="31"/>
      <c r="AD8" s="36"/>
      <c r="AE8" s="41"/>
      <c r="AF8" s="4"/>
    </row>
    <row r="9" spans="1:32" ht="18" customHeight="1">
      <c r="A9" s="13">
        <f t="shared" si="0"/>
        <v>0.29166666666666669</v>
      </c>
      <c r="B9" s="1">
        <v>60</v>
      </c>
      <c r="C9" s="22" t="s">
        <v>104</v>
      </c>
      <c r="D9" s="27"/>
      <c r="E9" s="32"/>
      <c r="F9" s="37"/>
      <c r="G9" s="42"/>
      <c r="H9" s="5" t="s">
        <v>104</v>
      </c>
      <c r="I9" s="22" t="s">
        <v>104</v>
      </c>
      <c r="J9" s="27"/>
      <c r="K9" s="32"/>
      <c r="L9" s="37"/>
      <c r="M9" s="42"/>
      <c r="N9" s="5" t="s">
        <v>104</v>
      </c>
      <c r="O9" s="22" t="s">
        <v>107</v>
      </c>
      <c r="P9" s="27"/>
      <c r="Q9" s="32"/>
      <c r="R9" s="37"/>
      <c r="S9" s="42"/>
      <c r="T9" s="5" t="s">
        <v>104</v>
      </c>
      <c r="U9" s="22" t="s">
        <v>104</v>
      </c>
      <c r="V9" s="27"/>
      <c r="W9" s="32"/>
      <c r="X9" s="37"/>
      <c r="Y9" s="42"/>
      <c r="Z9" s="5" t="s">
        <v>104</v>
      </c>
      <c r="AA9" s="22" t="s">
        <v>104</v>
      </c>
      <c r="AB9" s="27"/>
      <c r="AC9" s="32"/>
      <c r="AD9" s="37"/>
      <c r="AE9" s="42"/>
      <c r="AF9" s="5" t="s">
        <v>104</v>
      </c>
    </row>
    <row r="10" spans="1:32" ht="18" customHeight="1">
      <c r="A10" s="12">
        <f t="shared" si="0"/>
        <v>0.33333333333333337</v>
      </c>
      <c r="B10" s="2">
        <v>60</v>
      </c>
      <c r="C10" s="21" t="s">
        <v>104</v>
      </c>
      <c r="D10" s="26"/>
      <c r="E10" s="31"/>
      <c r="F10" s="36"/>
      <c r="G10" s="41"/>
      <c r="H10" s="4" t="s">
        <v>104</v>
      </c>
      <c r="I10" s="21" t="s">
        <v>104</v>
      </c>
      <c r="J10" s="26"/>
      <c r="K10" s="31"/>
      <c r="L10" s="36"/>
      <c r="M10" s="41"/>
      <c r="N10" s="4" t="s">
        <v>104</v>
      </c>
      <c r="O10" s="21" t="s">
        <v>107</v>
      </c>
      <c r="P10" s="26"/>
      <c r="Q10" s="31"/>
      <c r="R10" s="36"/>
      <c r="S10" s="41"/>
      <c r="T10" s="4" t="s">
        <v>104</v>
      </c>
      <c r="U10" s="21" t="s">
        <v>104</v>
      </c>
      <c r="V10" s="26"/>
      <c r="W10" s="31"/>
      <c r="X10" s="36"/>
      <c r="Y10" s="41"/>
      <c r="Z10" s="4" t="s">
        <v>104</v>
      </c>
      <c r="AA10" s="21" t="s">
        <v>104</v>
      </c>
      <c r="AB10" s="26"/>
      <c r="AC10" s="31"/>
      <c r="AD10" s="36"/>
      <c r="AE10" s="41"/>
      <c r="AF10" s="4" t="s">
        <v>104</v>
      </c>
    </row>
    <row r="11" spans="1:32" ht="18" customHeight="1">
      <c r="A11" s="14">
        <f t="shared" si="0"/>
        <v>0.37500000000000006</v>
      </c>
      <c r="B11" s="1">
        <v>60</v>
      </c>
      <c r="C11" s="22" t="s">
        <v>104</v>
      </c>
      <c r="D11" s="27"/>
      <c r="E11" s="32"/>
      <c r="F11" s="37"/>
      <c r="G11" s="42"/>
      <c r="H11" s="5" t="s">
        <v>104</v>
      </c>
      <c r="I11" s="22" t="s">
        <v>104</v>
      </c>
      <c r="J11" s="27"/>
      <c r="K11" s="32"/>
      <c r="L11" s="37"/>
      <c r="M11" s="42"/>
      <c r="N11" s="5" t="s">
        <v>104</v>
      </c>
      <c r="O11" s="22" t="s">
        <v>107</v>
      </c>
      <c r="P11" s="27"/>
      <c r="Q11" s="32"/>
      <c r="R11" s="37"/>
      <c r="S11" s="42"/>
      <c r="T11" s="5" t="s">
        <v>104</v>
      </c>
      <c r="U11" s="22" t="s">
        <v>104</v>
      </c>
      <c r="V11" s="27"/>
      <c r="W11" s="32"/>
      <c r="X11" s="37"/>
      <c r="Y11" s="42"/>
      <c r="Z11" s="5" t="s">
        <v>104</v>
      </c>
      <c r="AA11" s="22" t="s">
        <v>104</v>
      </c>
      <c r="AB11" s="27"/>
      <c r="AC11" s="32"/>
      <c r="AD11" s="37"/>
      <c r="AE11" s="42"/>
      <c r="AF11" s="5" t="s">
        <v>104</v>
      </c>
    </row>
    <row r="12" spans="1:32" ht="18" customHeight="1">
      <c r="A12" s="12">
        <f t="shared" si="0"/>
        <v>0.41666666666666674</v>
      </c>
      <c r="B12" s="2">
        <v>60</v>
      </c>
      <c r="C12" s="21" t="s">
        <v>104</v>
      </c>
      <c r="D12" s="26"/>
      <c r="E12" s="31"/>
      <c r="F12" s="36"/>
      <c r="G12" s="41"/>
      <c r="H12" s="4" t="s">
        <v>104</v>
      </c>
      <c r="I12" s="21" t="s">
        <v>104</v>
      </c>
      <c r="J12" s="26"/>
      <c r="K12" s="31"/>
      <c r="L12" s="36"/>
      <c r="M12" s="41"/>
      <c r="N12" s="4" t="s">
        <v>104</v>
      </c>
      <c r="O12" s="21" t="s">
        <v>107</v>
      </c>
      <c r="P12" s="26"/>
      <c r="Q12" s="31"/>
      <c r="R12" s="36"/>
      <c r="S12" s="41"/>
      <c r="T12" s="4" t="s">
        <v>104</v>
      </c>
      <c r="U12" s="21" t="s">
        <v>104</v>
      </c>
      <c r="V12" s="26"/>
      <c r="W12" s="31"/>
      <c r="X12" s="36"/>
      <c r="Y12" s="41"/>
      <c r="Z12" s="4" t="s">
        <v>104</v>
      </c>
      <c r="AA12" s="21" t="s">
        <v>104</v>
      </c>
      <c r="AB12" s="26"/>
      <c r="AC12" s="31"/>
      <c r="AD12" s="36"/>
      <c r="AE12" s="41"/>
      <c r="AF12" s="4" t="s">
        <v>104</v>
      </c>
    </row>
    <row r="13" spans="1:32" ht="18" customHeight="1">
      <c r="A13" s="13">
        <f t="shared" si="0"/>
        <v>0.45833333333333343</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0.45833333333333343</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0.45833333333333343</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0.45833333333333343</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0.45833333333333343</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0.45833333333333343</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0.45833333333333343</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0.45833333333333343</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0.45833333333333343</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0.45833333333333343</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0.45833333333333343</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0.45833333333333343</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0.45833333333333343</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0.45833333333333343</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0.45833333333333343</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0.45833333333333343</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0.45833333333333343</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0.45833333333333343</v>
      </c>
      <c r="B30" s="3"/>
      <c r="C30" s="23"/>
      <c r="D30" s="28"/>
      <c r="E30" s="33"/>
      <c r="F30" s="38"/>
      <c r="G30" s="43"/>
      <c r="H30" s="6"/>
      <c r="I30" s="23"/>
      <c r="J30" s="28"/>
      <c r="K30" s="33"/>
      <c r="L30" s="38"/>
      <c r="M30" s="43"/>
      <c r="N30" s="6"/>
      <c r="O30" s="23"/>
      <c r="P30" s="26"/>
      <c r="Q30" s="31"/>
      <c r="R30" s="36"/>
      <c r="S30" s="41"/>
      <c r="T30" s="4"/>
      <c r="U30" s="21"/>
      <c r="V30" s="26"/>
      <c r="W30" s="31"/>
      <c r="X30" s="36"/>
      <c r="Y30" s="41"/>
      <c r="Z30" s="4"/>
      <c r="AA30" s="21"/>
      <c r="AB30" s="26"/>
      <c r="AC30" s="31"/>
      <c r="AD30" s="36"/>
      <c r="AE30" s="41"/>
      <c r="AF30" s="4"/>
    </row>
    <row r="31" spans="1:33" ht="32" customHeight="1" thickBot="1">
      <c r="A31" s="95" t="s">
        <v>18</v>
      </c>
      <c r="B31" s="96"/>
      <c r="C31" s="96"/>
      <c r="D31" s="96"/>
      <c r="E31" s="96"/>
      <c r="F31" s="96"/>
      <c r="G31" s="96"/>
      <c r="H31" s="96"/>
      <c r="I31" s="96"/>
      <c r="J31" s="96"/>
      <c r="K31" s="96"/>
      <c r="L31" s="96"/>
      <c r="M31" s="96"/>
      <c r="N31" s="96"/>
      <c r="O31" s="96"/>
      <c r="P31" s="982" t="s">
        <v>88</v>
      </c>
      <c r="Q31" s="983"/>
      <c r="R31" s="983"/>
      <c r="S31" s="983"/>
      <c r="T31" s="983"/>
      <c r="U31" s="983"/>
      <c r="V31" s="983"/>
      <c r="W31" s="983"/>
      <c r="X31" s="983"/>
      <c r="Y31" s="983"/>
      <c r="Z31" s="983"/>
      <c r="AA31" s="983"/>
      <c r="AB31" s="983"/>
      <c r="AC31" s="983"/>
      <c r="AD31" s="983"/>
      <c r="AE31" s="983"/>
      <c r="AF31" s="983"/>
      <c r="AG31" s="990"/>
    </row>
    <row r="32" spans="1:33" ht="31" customHeight="1">
      <c r="A32" s="959" t="s">
        <v>0</v>
      </c>
      <c r="B32" s="960"/>
      <c r="C32" s="961" t="str">
        <f>C2</f>
        <v>Mandag</v>
      </c>
      <c r="D32" s="962"/>
      <c r="E32" s="962"/>
      <c r="F32" s="962"/>
      <c r="G32" s="962"/>
      <c r="H32" s="960"/>
      <c r="I32" s="961" t="str">
        <f>I2</f>
        <v>Tirsdag</v>
      </c>
      <c r="J32" s="962"/>
      <c r="K32" s="962"/>
      <c r="L32" s="962"/>
      <c r="M32" s="962"/>
      <c r="N32" s="960"/>
      <c r="O32" s="961" t="str">
        <f>O2</f>
        <v>Onsdag</v>
      </c>
      <c r="P32" s="963"/>
      <c r="Q32" s="963"/>
      <c r="R32" s="963"/>
      <c r="S32" s="963"/>
      <c r="T32" s="964"/>
      <c r="U32" s="965" t="str">
        <f>U2</f>
        <v>Torsdag</v>
      </c>
      <c r="V32" s="963"/>
      <c r="W32" s="963"/>
      <c r="X32" s="963"/>
      <c r="Y32" s="963"/>
      <c r="Z32" s="964"/>
      <c r="AA32" s="965" t="str">
        <f>AA2</f>
        <v>Fredag</v>
      </c>
      <c r="AB32" s="963"/>
      <c r="AC32" s="963"/>
      <c r="AD32" s="963"/>
      <c r="AE32" s="963"/>
      <c r="AF32" s="964"/>
      <c r="AG32" s="45" t="s">
        <v>87</v>
      </c>
    </row>
    <row r="33" spans="1:33">
      <c r="A33" s="46" t="e">
        <f>'Stamdata Årsnorm'!#REF!</f>
        <v>#REF!</v>
      </c>
      <c r="B33" s="47"/>
      <c r="C33" s="48">
        <f>SUMIF(C$5:C$30,"k",$B$5:$B$30)*C4</f>
        <v>240</v>
      </c>
      <c r="D33" s="49"/>
      <c r="E33" s="49"/>
      <c r="F33" s="49"/>
      <c r="G33" s="49"/>
      <c r="H33" s="49"/>
      <c r="I33" s="48">
        <f>SUMIF(I$5:I$30,"k",$B$5:$B$30)*I4</f>
        <v>240</v>
      </c>
      <c r="J33" s="49"/>
      <c r="K33" s="49"/>
      <c r="L33" s="49"/>
      <c r="M33" s="49"/>
      <c r="N33" s="49"/>
      <c r="O33" s="48">
        <f>SUMIF(O$5:O$30,"k",$B$5:$B$30)*O4</f>
        <v>0</v>
      </c>
      <c r="P33" s="49"/>
      <c r="Q33" s="49"/>
      <c r="R33" s="49"/>
      <c r="S33" s="49"/>
      <c r="T33" s="49"/>
      <c r="U33" s="48">
        <f>SUMIF(U$5:U$30,"k",$B$5:$B$30)*U4</f>
        <v>240</v>
      </c>
      <c r="V33" s="49"/>
      <c r="W33" s="49"/>
      <c r="X33" s="49"/>
      <c r="Y33" s="49"/>
      <c r="Z33" s="49"/>
      <c r="AA33" s="48">
        <f>SUMIF(AA$5:AA$30,"k",$B$5:$B$30)*AA4</f>
        <v>240</v>
      </c>
      <c r="AB33" s="49"/>
      <c r="AC33" s="49"/>
      <c r="AD33" s="49"/>
      <c r="AE33" s="49"/>
      <c r="AF33" s="49"/>
      <c r="AG33" s="50">
        <f t="shared" ref="AG33:AG38" si="1">SUM(C33:AF33)/60</f>
        <v>16</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240</v>
      </c>
      <c r="I38" s="71"/>
      <c r="J38" s="72"/>
      <c r="K38" s="72"/>
      <c r="L38" s="72"/>
      <c r="M38" s="72"/>
      <c r="N38" s="72">
        <f>SUMIF(N$5:N$30,"k",$B$5:$B$30)*N4</f>
        <v>240</v>
      </c>
      <c r="O38" s="71"/>
      <c r="P38" s="72"/>
      <c r="Q38" s="72"/>
      <c r="R38" s="72"/>
      <c r="S38" s="72"/>
      <c r="T38" s="72">
        <f>SUMIF(T$5:T$30,"k",$B$5:$B$30)*T4</f>
        <v>240</v>
      </c>
      <c r="U38" s="71"/>
      <c r="V38" s="72"/>
      <c r="W38" s="72"/>
      <c r="X38" s="72"/>
      <c r="Y38" s="72"/>
      <c r="Z38" s="72">
        <f>SUMIF(Z$5:Z$30,"k",$B$5:$B$30)*Z4</f>
        <v>240</v>
      </c>
      <c r="AA38" s="71"/>
      <c r="AB38" s="72"/>
      <c r="AC38" s="72"/>
      <c r="AD38" s="72"/>
      <c r="AE38" s="72"/>
      <c r="AF38" s="72">
        <f>SUMIF(AF$5:AF$30,"k",$B$5:$B$30)*AF4</f>
        <v>240</v>
      </c>
      <c r="AG38" s="73">
        <f t="shared" si="1"/>
        <v>20</v>
      </c>
    </row>
    <row r="39" spans="1:33" ht="17" thickBot="1">
      <c r="A39" s="74" t="s">
        <v>9</v>
      </c>
      <c r="B39" s="74"/>
      <c r="C39" s="75"/>
      <c r="D39" s="76"/>
      <c r="E39" s="76"/>
      <c r="F39" s="76"/>
      <c r="G39" s="76"/>
      <c r="H39" s="76">
        <f>SUM(C33:H38)</f>
        <v>480</v>
      </c>
      <c r="I39" s="75"/>
      <c r="J39" s="76"/>
      <c r="K39" s="76"/>
      <c r="L39" s="76"/>
      <c r="M39" s="76"/>
      <c r="N39" s="76">
        <f>SUM(I33:N38)</f>
        <v>480</v>
      </c>
      <c r="O39" s="75"/>
      <c r="P39" s="76"/>
      <c r="Q39" s="76"/>
      <c r="R39" s="76"/>
      <c r="S39" s="76"/>
      <c r="T39" s="76">
        <f>SUM(O33:T38)</f>
        <v>240</v>
      </c>
      <c r="U39" s="75"/>
      <c r="V39" s="76"/>
      <c r="W39" s="76"/>
      <c r="X39" s="76"/>
      <c r="Y39" s="76"/>
      <c r="Z39" s="76">
        <f>SUM(U33:Z38)</f>
        <v>480</v>
      </c>
      <c r="AA39" s="75"/>
      <c r="AB39" s="76"/>
      <c r="AC39" s="76"/>
      <c r="AD39" s="76"/>
      <c r="AE39" s="76"/>
      <c r="AF39" s="76">
        <f>SUM(AA33:AF38)</f>
        <v>480</v>
      </c>
      <c r="AG39" s="77">
        <f>SUM(AG33:AG38)</f>
        <v>36</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59" t="s">
        <v>1</v>
      </c>
      <c r="B41" s="960"/>
      <c r="C41" s="961" t="str">
        <f>C32</f>
        <v>Mandag</v>
      </c>
      <c r="D41" s="962"/>
      <c r="E41" s="962"/>
      <c r="F41" s="962"/>
      <c r="G41" s="962"/>
      <c r="H41" s="960"/>
      <c r="I41" s="961" t="str">
        <f>I32</f>
        <v>Tirsdag</v>
      </c>
      <c r="J41" s="962"/>
      <c r="K41" s="962"/>
      <c r="L41" s="962"/>
      <c r="M41" s="962"/>
      <c r="N41" s="960"/>
      <c r="O41" s="961" t="str">
        <f>O32</f>
        <v>Onsdag</v>
      </c>
      <c r="P41" s="962"/>
      <c r="Q41" s="962"/>
      <c r="R41" s="962"/>
      <c r="S41" s="962"/>
      <c r="T41" s="960"/>
      <c r="U41" s="961" t="str">
        <f>U32</f>
        <v>Torsdag</v>
      </c>
      <c r="V41" s="962"/>
      <c r="W41" s="962"/>
      <c r="X41" s="962"/>
      <c r="Y41" s="962"/>
      <c r="Z41" s="960"/>
      <c r="AA41" s="961" t="str">
        <f>AA32</f>
        <v>Fredag</v>
      </c>
      <c r="AB41" s="962"/>
      <c r="AC41" s="962"/>
      <c r="AD41" s="962"/>
      <c r="AE41" s="962"/>
      <c r="AF41" s="962"/>
      <c r="AG41" s="427"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240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4</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240</v>
      </c>
      <c r="U48" s="75"/>
      <c r="V48" s="76"/>
      <c r="W48" s="76"/>
      <c r="X48" s="76"/>
      <c r="Y48" s="76"/>
      <c r="Z48" s="76">
        <f>SUM(U42:Z47)</f>
        <v>0</v>
      </c>
      <c r="AA48" s="75"/>
      <c r="AB48" s="76"/>
      <c r="AC48" s="76"/>
      <c r="AD48" s="76"/>
      <c r="AE48" s="76"/>
      <c r="AF48" s="76">
        <f>SUM(AA42:AF47)</f>
        <v>0</v>
      </c>
      <c r="AG48" s="77">
        <f>SUM(AG42:AG47)</f>
        <v>4</v>
      </c>
    </row>
    <row r="49" ht="17" thickTop="1"/>
  </sheetData>
  <sheetProtection sheet="1" objects="1" scenarios="1"/>
  <mergeCells count="21">
    <mergeCell ref="C2:H2"/>
    <mergeCell ref="I2:N2"/>
    <mergeCell ref="O2:T2"/>
    <mergeCell ref="U2:Z2"/>
    <mergeCell ref="AA2:AF2"/>
    <mergeCell ref="A1:A2"/>
    <mergeCell ref="B1:B2"/>
    <mergeCell ref="A4:B4"/>
    <mergeCell ref="P31:AG31"/>
    <mergeCell ref="AA41:AF41"/>
    <mergeCell ref="A41:B41"/>
    <mergeCell ref="C41:H41"/>
    <mergeCell ref="I41:N41"/>
    <mergeCell ref="O41:T41"/>
    <mergeCell ref="U41:Z41"/>
    <mergeCell ref="A32:B32"/>
    <mergeCell ref="C32:H32"/>
    <mergeCell ref="I32:N32"/>
    <mergeCell ref="O32:T32"/>
    <mergeCell ref="U32:Z32"/>
    <mergeCell ref="AA32:AF32"/>
  </mergeCells>
  <phoneticPr fontId="25" type="noConversion"/>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G49"/>
  <sheetViews>
    <sheetView showGridLines="0" topLeftCell="A21" workbookViewId="0">
      <selection activeCell="AG33" sqref="AG33"/>
    </sheetView>
  </sheetViews>
  <sheetFormatPr baseColWidth="10" defaultColWidth="11.5703125" defaultRowHeight="16"/>
  <cols>
    <col min="1" max="1" width="6.28515625" style="7" customWidth="1"/>
    <col min="2" max="2" width="8.85546875" style="7" customWidth="1"/>
    <col min="3" max="32" width="5.85546875" style="7" customWidth="1"/>
    <col min="33" max="34" width="12.5703125" style="7" customWidth="1"/>
    <col min="35" max="16384" width="11.5703125" style="7"/>
  </cols>
  <sheetData>
    <row r="1" spans="1:32" ht="17" thickBot="1">
      <c r="A1" s="978" t="s">
        <v>106</v>
      </c>
      <c r="B1" s="980" t="s">
        <v>105</v>
      </c>
      <c r="C1" s="7" t="s">
        <v>42</v>
      </c>
    </row>
    <row r="2" spans="1:32" ht="15" customHeight="1" thickBot="1">
      <c r="A2" s="991"/>
      <c r="B2" s="992"/>
      <c r="C2" s="985" t="s">
        <v>6</v>
      </c>
      <c r="D2" s="986"/>
      <c r="E2" s="986"/>
      <c r="F2" s="986"/>
      <c r="G2" s="986"/>
      <c r="H2" s="987"/>
      <c r="I2" s="985" t="s">
        <v>10</v>
      </c>
      <c r="J2" s="986"/>
      <c r="K2" s="986"/>
      <c r="L2" s="986"/>
      <c r="M2" s="986"/>
      <c r="N2" s="987"/>
      <c r="O2" s="985" t="s">
        <v>11</v>
      </c>
      <c r="P2" s="986"/>
      <c r="Q2" s="986"/>
      <c r="R2" s="986"/>
      <c r="S2" s="986"/>
      <c r="T2" s="987"/>
      <c r="U2" s="985" t="s">
        <v>12</v>
      </c>
      <c r="V2" s="986"/>
      <c r="W2" s="986"/>
      <c r="X2" s="986"/>
      <c r="Y2" s="986"/>
      <c r="Z2" s="987"/>
      <c r="AA2" s="985" t="s">
        <v>13</v>
      </c>
      <c r="AB2" s="986"/>
      <c r="AC2" s="986"/>
      <c r="AD2" s="986"/>
      <c r="AE2" s="986"/>
      <c r="AF2" s="987"/>
    </row>
    <row r="3" spans="1:32" ht="17" thickBot="1">
      <c r="A3" s="425" t="s">
        <v>7</v>
      </c>
      <c r="B3" s="426"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72" t="s">
        <v>22</v>
      </c>
      <c r="B4" s="973"/>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0.33333333333333331</v>
      </c>
      <c r="B5" s="428"/>
      <c r="C5" s="98"/>
      <c r="D5" s="100"/>
      <c r="E5" s="30"/>
      <c r="F5" s="35"/>
      <c r="G5" s="40"/>
      <c r="H5" s="17"/>
      <c r="I5" s="20"/>
      <c r="J5" s="102"/>
      <c r="K5" s="100"/>
      <c r="L5" s="35"/>
      <c r="M5" s="40"/>
      <c r="N5" s="17"/>
      <c r="O5" s="20"/>
      <c r="P5" s="25"/>
      <c r="Q5" s="104"/>
      <c r="R5" s="100"/>
      <c r="S5" s="40"/>
      <c r="T5" s="17"/>
      <c r="U5" s="20"/>
      <c r="V5" s="25"/>
      <c r="W5" s="30"/>
      <c r="X5" s="106"/>
      <c r="Y5" s="100"/>
      <c r="Z5" s="17"/>
      <c r="AA5" s="20"/>
      <c r="AB5" s="25"/>
      <c r="AC5" s="30"/>
      <c r="AD5" s="35"/>
      <c r="AE5" s="108"/>
      <c r="AF5" s="110"/>
    </row>
    <row r="6" spans="1:32" ht="18" customHeight="1">
      <c r="A6" s="12">
        <f t="shared" ref="A6:A30" si="0">A5+B5/24/60</f>
        <v>0.33333333333333331</v>
      </c>
      <c r="B6" s="2"/>
      <c r="C6" s="99"/>
      <c r="D6" s="101"/>
      <c r="E6" s="31"/>
      <c r="F6" s="36"/>
      <c r="G6" s="41"/>
      <c r="H6" s="4"/>
      <c r="I6" s="21"/>
      <c r="J6" s="103"/>
      <c r="K6" s="101"/>
      <c r="L6" s="36"/>
      <c r="M6" s="41"/>
      <c r="N6" s="4"/>
      <c r="O6" s="21"/>
      <c r="P6" s="26"/>
      <c r="Q6" s="105"/>
      <c r="R6" s="101"/>
      <c r="S6" s="41"/>
      <c r="T6" s="4"/>
      <c r="U6" s="21"/>
      <c r="V6" s="26"/>
      <c r="W6" s="31"/>
      <c r="X6" s="107"/>
      <c r="Y6" s="101"/>
      <c r="Z6" s="4"/>
      <c r="AA6" s="21"/>
      <c r="AB6" s="26"/>
      <c r="AC6" s="31"/>
      <c r="AD6" s="36"/>
      <c r="AE6" s="109"/>
      <c r="AF6" s="111"/>
    </row>
    <row r="7" spans="1:32" ht="18" customHeight="1">
      <c r="A7" s="13">
        <f t="shared" si="0"/>
        <v>0.33333333333333331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0.33333333333333331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0.33333333333333331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0.33333333333333331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0.33333333333333331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0.33333333333333331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0.33333333333333331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0.33333333333333331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0.33333333333333331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0.33333333333333331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0.33333333333333331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0.33333333333333331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0.33333333333333331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0.33333333333333331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0.33333333333333331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0.33333333333333331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0.33333333333333331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0.33333333333333331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0.33333333333333331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0.33333333333333331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0.33333333333333331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0.33333333333333331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0.33333333333333331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0.33333333333333331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95" t="s">
        <v>18</v>
      </c>
      <c r="B31" s="96"/>
      <c r="C31" s="96"/>
      <c r="D31" s="96"/>
      <c r="E31" s="96"/>
      <c r="F31" s="96"/>
      <c r="G31" s="96"/>
      <c r="H31" s="96"/>
      <c r="I31" s="96"/>
      <c r="J31" s="96"/>
      <c r="K31" s="96"/>
      <c r="L31" s="96"/>
      <c r="M31" s="96"/>
      <c r="N31" s="96"/>
      <c r="O31" s="96"/>
      <c r="P31" s="982"/>
      <c r="Q31" s="983"/>
      <c r="R31" s="983"/>
      <c r="S31" s="983"/>
      <c r="T31" s="983"/>
      <c r="U31" s="983"/>
      <c r="V31" s="983"/>
      <c r="W31" s="983"/>
      <c r="X31" s="983"/>
      <c r="Y31" s="983"/>
      <c r="Z31" s="983"/>
      <c r="AA31" s="983"/>
      <c r="AB31" s="983"/>
      <c r="AC31" s="983"/>
      <c r="AD31" s="983"/>
      <c r="AE31" s="983"/>
      <c r="AF31" s="983"/>
      <c r="AG31" s="984"/>
    </row>
    <row r="32" spans="1:33" ht="31" customHeight="1">
      <c r="A32" s="959" t="s">
        <v>0</v>
      </c>
      <c r="B32" s="960"/>
      <c r="C32" s="961" t="str">
        <f>C2</f>
        <v>Mandag</v>
      </c>
      <c r="D32" s="962"/>
      <c r="E32" s="962"/>
      <c r="F32" s="962"/>
      <c r="G32" s="962"/>
      <c r="H32" s="960"/>
      <c r="I32" s="961" t="str">
        <f>I2</f>
        <v>Tirsdag</v>
      </c>
      <c r="J32" s="962"/>
      <c r="K32" s="962"/>
      <c r="L32" s="962"/>
      <c r="M32" s="962"/>
      <c r="N32" s="960"/>
      <c r="O32" s="961" t="str">
        <f>O2</f>
        <v>Onsdag</v>
      </c>
      <c r="P32" s="963"/>
      <c r="Q32" s="963"/>
      <c r="R32" s="963"/>
      <c r="S32" s="963"/>
      <c r="T32" s="964"/>
      <c r="U32" s="965" t="str">
        <f>U2</f>
        <v>Torsdag</v>
      </c>
      <c r="V32" s="963"/>
      <c r="W32" s="963"/>
      <c r="X32" s="963"/>
      <c r="Y32" s="963"/>
      <c r="Z32" s="964"/>
      <c r="AA32" s="965" t="str">
        <f>AA2</f>
        <v>Fredag</v>
      </c>
      <c r="AB32" s="963"/>
      <c r="AC32" s="963"/>
      <c r="AD32" s="963"/>
      <c r="AE32" s="963"/>
      <c r="AF32" s="964"/>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59" t="s">
        <v>1</v>
      </c>
      <c r="B41" s="960"/>
      <c r="C41" s="961" t="str">
        <f>C32</f>
        <v>Mandag</v>
      </c>
      <c r="D41" s="962"/>
      <c r="E41" s="962"/>
      <c r="F41" s="962"/>
      <c r="G41" s="962"/>
      <c r="H41" s="960"/>
      <c r="I41" s="961" t="str">
        <f>I32</f>
        <v>Tirsdag</v>
      </c>
      <c r="J41" s="962"/>
      <c r="K41" s="962"/>
      <c r="L41" s="962"/>
      <c r="M41" s="962"/>
      <c r="N41" s="960"/>
      <c r="O41" s="961" t="str">
        <f>O32</f>
        <v>Onsdag</v>
      </c>
      <c r="P41" s="962"/>
      <c r="Q41" s="962"/>
      <c r="R41" s="962"/>
      <c r="S41" s="962"/>
      <c r="T41" s="960"/>
      <c r="U41" s="961" t="str">
        <f>U32</f>
        <v>Torsdag</v>
      </c>
      <c r="V41" s="962"/>
      <c r="W41" s="962"/>
      <c r="X41" s="962"/>
      <c r="Y41" s="962"/>
      <c r="Z41" s="960"/>
      <c r="AA41" s="961" t="str">
        <f>AA32</f>
        <v>Fredag</v>
      </c>
      <c r="AB41" s="962"/>
      <c r="AC41" s="962"/>
      <c r="AD41" s="962"/>
      <c r="AE41" s="962"/>
      <c r="AF41" s="962"/>
      <c r="AG41" s="427"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0</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AA41:AF41"/>
    <mergeCell ref="A32:B32"/>
    <mergeCell ref="C32:H32"/>
    <mergeCell ref="I32:N32"/>
    <mergeCell ref="O32:T32"/>
    <mergeCell ref="U32:Z32"/>
    <mergeCell ref="AA32:AF32"/>
    <mergeCell ref="A41:B41"/>
    <mergeCell ref="C41:H41"/>
    <mergeCell ref="I41:N41"/>
    <mergeCell ref="O41:T41"/>
    <mergeCell ref="U41:Z41"/>
    <mergeCell ref="A1:A2"/>
    <mergeCell ref="B1:B2"/>
    <mergeCell ref="A4:B4"/>
    <mergeCell ref="P31:AG31"/>
    <mergeCell ref="C2:H2"/>
    <mergeCell ref="I2:N2"/>
    <mergeCell ref="O2:T2"/>
    <mergeCell ref="U2:Z2"/>
    <mergeCell ref="AA2:AF2"/>
  </mergeCells>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G49"/>
  <sheetViews>
    <sheetView showGridLines="0" topLeftCell="A22" workbookViewId="0">
      <selection activeCell="AG33" sqref="AG33"/>
    </sheetView>
  </sheetViews>
  <sheetFormatPr baseColWidth="10" defaultColWidth="11.5703125" defaultRowHeight="16"/>
  <cols>
    <col min="1" max="1" width="6.28515625" style="7" customWidth="1"/>
    <col min="2" max="2" width="9.7109375" style="7" customWidth="1"/>
    <col min="3" max="32" width="5.85546875" style="7" customWidth="1"/>
    <col min="33" max="34" width="12.5703125" style="7" customWidth="1"/>
    <col min="35" max="16384" width="11.5703125" style="7"/>
  </cols>
  <sheetData>
    <row r="1" spans="1:32" ht="17" thickBot="1">
      <c r="A1" s="978" t="s">
        <v>106</v>
      </c>
      <c r="B1" s="980" t="s">
        <v>105</v>
      </c>
      <c r="C1" s="7" t="s">
        <v>16</v>
      </c>
    </row>
    <row r="2" spans="1:32" ht="15" customHeight="1" thickBot="1">
      <c r="A2" s="979"/>
      <c r="B2" s="981"/>
      <c r="C2" s="985" t="s">
        <v>6</v>
      </c>
      <c r="D2" s="986"/>
      <c r="E2" s="986"/>
      <c r="F2" s="986"/>
      <c r="G2" s="986"/>
      <c r="H2" s="987"/>
      <c r="I2" s="985" t="s">
        <v>10</v>
      </c>
      <c r="J2" s="986"/>
      <c r="K2" s="986"/>
      <c r="L2" s="986"/>
      <c r="M2" s="986"/>
      <c r="N2" s="987"/>
      <c r="O2" s="985" t="s">
        <v>11</v>
      </c>
      <c r="P2" s="986"/>
      <c r="Q2" s="986"/>
      <c r="R2" s="986"/>
      <c r="S2" s="986"/>
      <c r="T2" s="987"/>
      <c r="U2" s="985" t="s">
        <v>12</v>
      </c>
      <c r="V2" s="986"/>
      <c r="W2" s="986"/>
      <c r="X2" s="986"/>
      <c r="Y2" s="986"/>
      <c r="Z2" s="987"/>
      <c r="AA2" s="985" t="s">
        <v>13</v>
      </c>
      <c r="AB2" s="986"/>
      <c r="AC2" s="986"/>
      <c r="AD2" s="986"/>
      <c r="AE2" s="986"/>
      <c r="AF2" s="987"/>
    </row>
    <row r="3" spans="1:32" ht="17" thickBot="1">
      <c r="A3" s="8" t="s">
        <v>7</v>
      </c>
      <c r="B3" s="9"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72" t="s">
        <v>22</v>
      </c>
      <c r="B4" s="973"/>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0.33333333333333331</v>
      </c>
      <c r="B5" s="1"/>
      <c r="C5" s="20"/>
      <c r="D5" s="25"/>
      <c r="E5" s="30"/>
      <c r="F5" s="35"/>
      <c r="G5" s="40"/>
      <c r="H5" s="17"/>
      <c r="I5" s="20"/>
      <c r="J5" s="25"/>
      <c r="K5" s="30"/>
      <c r="L5" s="35"/>
      <c r="M5" s="40"/>
      <c r="N5" s="17"/>
      <c r="O5" s="20"/>
      <c r="P5" s="25"/>
      <c r="Q5" s="30"/>
      <c r="R5" s="35"/>
      <c r="S5" s="40"/>
      <c r="T5" s="17"/>
      <c r="U5" s="20"/>
      <c r="V5" s="25"/>
      <c r="W5" s="30"/>
      <c r="X5" s="35"/>
      <c r="Y5" s="40"/>
      <c r="Z5" s="17"/>
      <c r="AA5" s="20"/>
      <c r="AB5" s="25"/>
      <c r="AC5" s="30"/>
      <c r="AD5" s="35"/>
      <c r="AE5" s="40"/>
      <c r="AF5" s="17"/>
    </row>
    <row r="6" spans="1:32" ht="18" customHeight="1">
      <c r="A6" s="12">
        <f t="shared" ref="A6:A30" si="0">A5+B5/24/60</f>
        <v>0.33333333333333331</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0.33333333333333331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0.33333333333333331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0.33333333333333331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0.33333333333333331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0.33333333333333331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0.33333333333333331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0.33333333333333331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0.33333333333333331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0.33333333333333331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0.33333333333333331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0.33333333333333331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0.33333333333333331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0.33333333333333331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0.33333333333333331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0.33333333333333331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0.33333333333333331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0.33333333333333331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0.33333333333333331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0.33333333333333331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0.33333333333333331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0.33333333333333331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0.33333333333333331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0.33333333333333331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0.33333333333333331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95" t="s">
        <v>18</v>
      </c>
      <c r="B31" s="96"/>
      <c r="C31" s="96"/>
      <c r="D31" s="96"/>
      <c r="E31" s="96"/>
      <c r="F31" s="96"/>
      <c r="G31" s="96"/>
      <c r="H31" s="96"/>
      <c r="I31" s="96"/>
      <c r="J31" s="96"/>
      <c r="K31" s="96"/>
      <c r="L31" s="96"/>
      <c r="M31" s="96"/>
      <c r="N31" s="96"/>
      <c r="O31" s="96"/>
      <c r="P31" s="982"/>
      <c r="Q31" s="983"/>
      <c r="R31" s="983"/>
      <c r="S31" s="983"/>
      <c r="T31" s="983"/>
      <c r="U31" s="983"/>
      <c r="V31" s="983"/>
      <c r="W31" s="983"/>
      <c r="X31" s="983"/>
      <c r="Y31" s="983"/>
      <c r="Z31" s="983"/>
      <c r="AA31" s="983"/>
      <c r="AB31" s="983"/>
      <c r="AC31" s="983"/>
      <c r="AD31" s="983"/>
      <c r="AE31" s="983"/>
      <c r="AF31" s="983"/>
      <c r="AG31" s="984"/>
    </row>
    <row r="32" spans="1:33" ht="31" customHeight="1">
      <c r="A32" s="959" t="s">
        <v>0</v>
      </c>
      <c r="B32" s="960"/>
      <c r="C32" s="961" t="str">
        <f>C2</f>
        <v>Mandag</v>
      </c>
      <c r="D32" s="962"/>
      <c r="E32" s="962"/>
      <c r="F32" s="962"/>
      <c r="G32" s="962"/>
      <c r="H32" s="960"/>
      <c r="I32" s="961" t="str">
        <f>I2</f>
        <v>Tirsdag</v>
      </c>
      <c r="J32" s="962"/>
      <c r="K32" s="962"/>
      <c r="L32" s="962"/>
      <c r="M32" s="962"/>
      <c r="N32" s="960"/>
      <c r="O32" s="961" t="str">
        <f>O2</f>
        <v>Onsdag</v>
      </c>
      <c r="P32" s="963"/>
      <c r="Q32" s="963"/>
      <c r="R32" s="963"/>
      <c r="S32" s="963"/>
      <c r="T32" s="964"/>
      <c r="U32" s="965" t="str">
        <f>U2</f>
        <v>Torsdag</v>
      </c>
      <c r="V32" s="963"/>
      <c r="W32" s="963"/>
      <c r="X32" s="963"/>
      <c r="Y32" s="963"/>
      <c r="Z32" s="964"/>
      <c r="AA32" s="965" t="str">
        <f>AA2</f>
        <v>Fredag</v>
      </c>
      <c r="AB32" s="963"/>
      <c r="AC32" s="963"/>
      <c r="AD32" s="963"/>
      <c r="AE32" s="963"/>
      <c r="AF32" s="964"/>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59" t="s">
        <v>1</v>
      </c>
      <c r="B41" s="960"/>
      <c r="C41" s="961" t="str">
        <f>C32</f>
        <v>Mandag</v>
      </c>
      <c r="D41" s="962"/>
      <c r="E41" s="962"/>
      <c r="F41" s="962"/>
      <c r="G41" s="962"/>
      <c r="H41" s="960"/>
      <c r="I41" s="961" t="str">
        <f>I32</f>
        <v>Tirsdag</v>
      </c>
      <c r="J41" s="962"/>
      <c r="K41" s="962"/>
      <c r="L41" s="962"/>
      <c r="M41" s="962"/>
      <c r="N41" s="960"/>
      <c r="O41" s="961" t="str">
        <f>O32</f>
        <v>Onsdag</v>
      </c>
      <c r="P41" s="962"/>
      <c r="Q41" s="962"/>
      <c r="R41" s="962"/>
      <c r="S41" s="962"/>
      <c r="T41" s="960"/>
      <c r="U41" s="961" t="str">
        <f>U32</f>
        <v>Torsdag</v>
      </c>
      <c r="V41" s="962"/>
      <c r="W41" s="962"/>
      <c r="X41" s="962"/>
      <c r="Y41" s="962"/>
      <c r="Z41" s="960"/>
      <c r="AA41" s="961" t="str">
        <f>AA32</f>
        <v>Fredag</v>
      </c>
      <c r="AB41" s="962"/>
      <c r="AC41" s="962"/>
      <c r="AD41" s="962"/>
      <c r="AE41" s="962"/>
      <c r="AF41" s="962"/>
      <c r="AG41" s="427"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0</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AA41:AF41"/>
    <mergeCell ref="A32:B32"/>
    <mergeCell ref="C32:H32"/>
    <mergeCell ref="I32:N32"/>
    <mergeCell ref="O32:T32"/>
    <mergeCell ref="U32:Z32"/>
    <mergeCell ref="AA32:AF32"/>
    <mergeCell ref="A41:B41"/>
    <mergeCell ref="C41:H41"/>
    <mergeCell ref="I41:N41"/>
    <mergeCell ref="O41:T41"/>
    <mergeCell ref="U41:Z41"/>
    <mergeCell ref="A1:A2"/>
    <mergeCell ref="B1:B2"/>
    <mergeCell ref="A4:B4"/>
    <mergeCell ref="P31:AG31"/>
    <mergeCell ref="C2:H2"/>
    <mergeCell ref="I2:N2"/>
    <mergeCell ref="O2:T2"/>
    <mergeCell ref="U2:Z2"/>
    <mergeCell ref="AA2:AF2"/>
  </mergeCells>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E6DFFF"/>
    <pageSetUpPr fitToPage="1"/>
  </sheetPr>
  <dimension ref="A1:AG49"/>
  <sheetViews>
    <sheetView showGridLines="0" workbookViewId="0">
      <selection activeCell="B15" sqref="B15"/>
    </sheetView>
  </sheetViews>
  <sheetFormatPr baseColWidth="10" defaultColWidth="11.5703125" defaultRowHeight="16"/>
  <cols>
    <col min="1" max="1" width="6.28515625" style="7" customWidth="1"/>
    <col min="2" max="2" width="10.42578125" style="7" customWidth="1"/>
    <col min="3" max="3" width="7.140625" style="7" customWidth="1"/>
    <col min="4" max="32" width="5.85546875" style="7" customWidth="1"/>
    <col min="33" max="34" width="12.5703125" style="7" customWidth="1"/>
    <col min="35" max="16384" width="11.5703125" style="7"/>
  </cols>
  <sheetData>
    <row r="1" spans="1:32" ht="17" thickBot="1">
      <c r="A1" s="978" t="s">
        <v>106</v>
      </c>
      <c r="B1" s="980" t="s">
        <v>105</v>
      </c>
      <c r="C1" s="7" t="s">
        <v>16</v>
      </c>
    </row>
    <row r="2" spans="1:32" ht="15" customHeight="1" thickBot="1">
      <c r="A2" s="979"/>
      <c r="B2" s="981"/>
      <c r="C2" s="985" t="s">
        <v>6</v>
      </c>
      <c r="D2" s="986"/>
      <c r="E2" s="986"/>
      <c r="F2" s="986"/>
      <c r="G2" s="986"/>
      <c r="H2" s="987"/>
      <c r="I2" s="985" t="s">
        <v>10</v>
      </c>
      <c r="J2" s="986"/>
      <c r="K2" s="986"/>
      <c r="L2" s="986"/>
      <c r="M2" s="986"/>
      <c r="N2" s="987"/>
      <c r="O2" s="985" t="s">
        <v>11</v>
      </c>
      <c r="P2" s="986"/>
      <c r="Q2" s="986"/>
      <c r="R2" s="986"/>
      <c r="S2" s="986"/>
      <c r="T2" s="987"/>
      <c r="U2" s="985" t="s">
        <v>12</v>
      </c>
      <c r="V2" s="986"/>
      <c r="W2" s="986"/>
      <c r="X2" s="986"/>
      <c r="Y2" s="986"/>
      <c r="Z2" s="987"/>
      <c r="AA2" s="985" t="s">
        <v>13</v>
      </c>
      <c r="AB2" s="986"/>
      <c r="AC2" s="986"/>
      <c r="AD2" s="986"/>
      <c r="AE2" s="986"/>
      <c r="AF2" s="987"/>
    </row>
    <row r="3" spans="1:32" ht="17" thickBot="1">
      <c r="A3" s="8" t="s">
        <v>7</v>
      </c>
      <c r="B3" s="9" t="s">
        <v>8</v>
      </c>
      <c r="C3" s="19" t="e">
        <f>LEFT($A33,3)</f>
        <v>#REF!</v>
      </c>
      <c r="D3" s="24" t="e">
        <f>LEFT($A34,3)</f>
        <v>#REF!</v>
      </c>
      <c r="E3" s="29" t="e">
        <f>LEFT($A35,3)</f>
        <v>#REF!</v>
      </c>
      <c r="F3" s="34" t="e">
        <f>LEFT($A36,3)</f>
        <v>#REF!</v>
      </c>
      <c r="G3" s="39" t="e">
        <f>LEFT($A37,3)</f>
        <v>#REF!</v>
      </c>
      <c r="H3" s="10" t="e">
        <f>LEFT($A38,3)</f>
        <v>#REF!</v>
      </c>
      <c r="I3" s="19" t="e">
        <f>LEFT($A33,3)</f>
        <v>#REF!</v>
      </c>
      <c r="J3" s="24" t="e">
        <f>LEFT($A34,3)</f>
        <v>#REF!</v>
      </c>
      <c r="K3" s="29" t="e">
        <f>LEFT($A35,3)</f>
        <v>#REF!</v>
      </c>
      <c r="L3" s="34" t="e">
        <f>LEFT($A36,3)</f>
        <v>#REF!</v>
      </c>
      <c r="M3" s="39" t="e">
        <f>LEFT($A37,3)</f>
        <v>#REF!</v>
      </c>
      <c r="N3" s="11" t="e">
        <f>LEFT($A38,3)</f>
        <v>#REF!</v>
      </c>
      <c r="O3" s="19" t="e">
        <f>LEFT($A33,3)</f>
        <v>#REF!</v>
      </c>
      <c r="P3" s="24" t="e">
        <f>LEFT($A34,3)</f>
        <v>#REF!</v>
      </c>
      <c r="Q3" s="29" t="e">
        <f>LEFT($A35,3)</f>
        <v>#REF!</v>
      </c>
      <c r="R3" s="34" t="e">
        <f>LEFT($A36,3)</f>
        <v>#REF!</v>
      </c>
      <c r="S3" s="39" t="e">
        <f>LEFT($A37,3)</f>
        <v>#REF!</v>
      </c>
      <c r="T3" s="11" t="e">
        <f>LEFT($A38,3)</f>
        <v>#REF!</v>
      </c>
      <c r="U3" s="19" t="e">
        <f>LEFT($A33,3)</f>
        <v>#REF!</v>
      </c>
      <c r="V3" s="24" t="e">
        <f>LEFT($A34,3)</f>
        <v>#REF!</v>
      </c>
      <c r="W3" s="29" t="e">
        <f>LEFT($A35,3)</f>
        <v>#REF!</v>
      </c>
      <c r="X3" s="34" t="e">
        <f>LEFT($A36,3)</f>
        <v>#REF!</v>
      </c>
      <c r="Y3" s="39" t="e">
        <f>LEFT($A37,3)</f>
        <v>#REF!</v>
      </c>
      <c r="Z3" s="11" t="e">
        <f>LEFT($A38,3)</f>
        <v>#REF!</v>
      </c>
      <c r="AA3" s="19" t="e">
        <f>LEFT($A33,3)</f>
        <v>#REF!</v>
      </c>
      <c r="AB3" s="24" t="e">
        <f>LEFT($A34,3)</f>
        <v>#REF!</v>
      </c>
      <c r="AC3" s="29" t="e">
        <f>LEFT($A35,3)</f>
        <v>#REF!</v>
      </c>
      <c r="AD3" s="34" t="e">
        <f>LEFT($A36,3)</f>
        <v>#REF!</v>
      </c>
      <c r="AE3" s="39" t="e">
        <f>LEFT($A37,3)</f>
        <v>#REF!</v>
      </c>
      <c r="AF3" s="11" t="e">
        <f>LEFT($A38,3)</f>
        <v>#REF!</v>
      </c>
    </row>
    <row r="4" spans="1:32" ht="17" thickBot="1">
      <c r="A4" s="972" t="s">
        <v>22</v>
      </c>
      <c r="B4" s="973"/>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0.33333333333333331</v>
      </c>
      <c r="B5" s="1"/>
      <c r="C5" s="20"/>
      <c r="D5" s="25"/>
      <c r="E5" s="30"/>
      <c r="F5" s="35"/>
      <c r="G5" s="40"/>
      <c r="H5" s="17"/>
      <c r="I5" s="20"/>
      <c r="J5" s="25"/>
      <c r="K5" s="30"/>
      <c r="L5" s="35"/>
      <c r="M5" s="40"/>
      <c r="N5" s="17"/>
      <c r="O5" s="20"/>
      <c r="P5" s="25"/>
      <c r="Q5" s="30"/>
      <c r="R5" s="35"/>
      <c r="S5" s="40"/>
      <c r="T5" s="17"/>
      <c r="U5" s="20"/>
      <c r="V5" s="25"/>
      <c r="W5" s="30"/>
      <c r="X5" s="35"/>
      <c r="Y5" s="40"/>
      <c r="Z5" s="17"/>
      <c r="AA5" s="20"/>
      <c r="AB5" s="25"/>
      <c r="AC5" s="30"/>
      <c r="AD5" s="35"/>
      <c r="AE5" s="40"/>
      <c r="AF5" s="17"/>
    </row>
    <row r="6" spans="1:32" ht="18" customHeight="1">
      <c r="A6" s="12">
        <f t="shared" ref="A6:A30" si="0">A5+B5/24/60</f>
        <v>0.33333333333333331</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0.33333333333333331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0.33333333333333331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0.33333333333333331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0.33333333333333331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0.33333333333333331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0.33333333333333331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0.33333333333333331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0.33333333333333331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0.33333333333333331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0.33333333333333331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0.33333333333333331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0.33333333333333331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0.33333333333333331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0.33333333333333331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0.33333333333333331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0.33333333333333331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0.33333333333333331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0.33333333333333331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0.33333333333333331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0.33333333333333331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0.33333333333333331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0.33333333333333331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0.33333333333333331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0.33333333333333331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993" t="s">
        <v>89</v>
      </c>
      <c r="B31" s="994"/>
      <c r="C31" s="994"/>
      <c r="D31" s="994"/>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5"/>
    </row>
    <row r="32" spans="1:33" ht="31" customHeight="1">
      <c r="A32" s="959" t="s">
        <v>0</v>
      </c>
      <c r="B32" s="960"/>
      <c r="C32" s="961" t="str">
        <f>C2</f>
        <v>Mandag</v>
      </c>
      <c r="D32" s="962"/>
      <c r="E32" s="962"/>
      <c r="F32" s="962"/>
      <c r="G32" s="962"/>
      <c r="H32" s="960"/>
      <c r="I32" s="961" t="str">
        <f>I2</f>
        <v>Tirsdag</v>
      </c>
      <c r="J32" s="962"/>
      <c r="K32" s="962"/>
      <c r="L32" s="962"/>
      <c r="M32" s="962"/>
      <c r="N32" s="960"/>
      <c r="O32" s="961" t="str">
        <f>O2</f>
        <v>Onsdag</v>
      </c>
      <c r="P32" s="963"/>
      <c r="Q32" s="963"/>
      <c r="R32" s="963"/>
      <c r="S32" s="963"/>
      <c r="T32" s="964"/>
      <c r="U32" s="965" t="str">
        <f>U2</f>
        <v>Torsdag</v>
      </c>
      <c r="V32" s="963"/>
      <c r="W32" s="963"/>
      <c r="X32" s="963"/>
      <c r="Y32" s="963"/>
      <c r="Z32" s="964"/>
      <c r="AA32" s="965" t="str">
        <f>AA2</f>
        <v>Fredag</v>
      </c>
      <c r="AB32" s="963"/>
      <c r="AC32" s="963"/>
      <c r="AD32" s="963"/>
      <c r="AE32" s="963"/>
      <c r="AF32" s="964"/>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17"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31" customHeight="1">
      <c r="A41" s="959" t="s">
        <v>1</v>
      </c>
      <c r="B41" s="960"/>
      <c r="C41" s="961" t="str">
        <f>C32</f>
        <v>Mandag</v>
      </c>
      <c r="D41" s="962"/>
      <c r="E41" s="962"/>
      <c r="F41" s="962"/>
      <c r="G41" s="962"/>
      <c r="H41" s="960"/>
      <c r="I41" s="961" t="str">
        <f>I32</f>
        <v>Tirsdag</v>
      </c>
      <c r="J41" s="962"/>
      <c r="K41" s="962"/>
      <c r="L41" s="962"/>
      <c r="M41" s="962"/>
      <c r="N41" s="960"/>
      <c r="O41" s="961" t="str">
        <f>O32</f>
        <v>Onsdag</v>
      </c>
      <c r="P41" s="962"/>
      <c r="Q41" s="962"/>
      <c r="R41" s="962"/>
      <c r="S41" s="962"/>
      <c r="T41" s="960"/>
      <c r="U41" s="961" t="str">
        <f>U32</f>
        <v>Torsdag</v>
      </c>
      <c r="V41" s="962"/>
      <c r="W41" s="962"/>
      <c r="X41" s="962"/>
      <c r="Y41" s="962"/>
      <c r="Z41" s="960"/>
      <c r="AA41" s="961" t="str">
        <f>AA32</f>
        <v>Fredag</v>
      </c>
      <c r="AB41" s="962"/>
      <c r="AC41" s="962"/>
      <c r="AD41" s="962"/>
      <c r="AE41" s="962"/>
      <c r="AF41" s="962"/>
      <c r="AG41" s="427" t="s">
        <v>87</v>
      </c>
    </row>
    <row r="42" spans="1:33">
      <c r="A42" s="46" t="e">
        <f t="shared" ref="A42:A47" si="2">+A33</f>
        <v>#REF!</v>
      </c>
      <c r="B42" s="47"/>
      <c r="C42" s="48">
        <f>SUMIF(C$5:C$30,"a",$B$5:$B$30)*C4</f>
        <v>0</v>
      </c>
      <c r="D42" s="49"/>
      <c r="E42" s="49"/>
      <c r="F42" s="49"/>
      <c r="G42" s="49"/>
      <c r="H42" s="49"/>
      <c r="I42" s="48">
        <f>SUMIF(I$5:I$30,"a",$B$5:$B$30)*C4</f>
        <v>0</v>
      </c>
      <c r="J42" s="49"/>
      <c r="K42" s="49"/>
      <c r="L42" s="49"/>
      <c r="M42" s="49"/>
      <c r="N42" s="49"/>
      <c r="O42" s="48">
        <f>SUMIF(O$5:O$30,"a",$B$5:$B$30)*C4</f>
        <v>0</v>
      </c>
      <c r="P42" s="49"/>
      <c r="Q42" s="49"/>
      <c r="R42" s="49"/>
      <c r="S42" s="49"/>
      <c r="T42" s="49"/>
      <c r="U42" s="48">
        <f>SUMIF(U$5:U$30,"a",$B$5:$B$30)*C4</f>
        <v>0</v>
      </c>
      <c r="V42" s="49"/>
      <c r="W42" s="49"/>
      <c r="X42" s="49"/>
      <c r="Y42" s="49"/>
      <c r="Z42" s="49"/>
      <c r="AA42" s="48">
        <f>SUMIF(AA$5:AA$30,"a",$B$5:$B$30)*C4</f>
        <v>0</v>
      </c>
      <c r="AB42" s="49"/>
      <c r="AC42" s="49"/>
      <c r="AD42" s="49"/>
      <c r="AE42" s="49"/>
      <c r="AF42" s="49"/>
      <c r="AG42" s="50">
        <f t="shared" ref="AG42:AG47" si="3">SUM(C42:AF42)/60</f>
        <v>0</v>
      </c>
    </row>
    <row r="43" spans="1:33">
      <c r="A43" s="51" t="e">
        <f t="shared" si="2"/>
        <v>#REF!</v>
      </c>
      <c r="B43" s="47"/>
      <c r="C43" s="78"/>
      <c r="D43" s="55">
        <f>SUMIF(D$5:D$30,"a",$B$5:$B$30)*C4</f>
        <v>0</v>
      </c>
      <c r="E43" s="55"/>
      <c r="F43" s="55"/>
      <c r="G43" s="55"/>
      <c r="H43" s="55"/>
      <c r="I43" s="78"/>
      <c r="J43" s="55">
        <f>SUMIF(J$5:J$30,"a",$B$5:$B$30)*C4</f>
        <v>0</v>
      </c>
      <c r="K43" s="55"/>
      <c r="L43" s="55"/>
      <c r="M43" s="55"/>
      <c r="N43" s="55"/>
      <c r="O43" s="78"/>
      <c r="P43" s="55">
        <f>SUMIF(P$5:P$30,"a",$B$5:$B$30)*C4</f>
        <v>0</v>
      </c>
      <c r="Q43" s="55"/>
      <c r="R43" s="55"/>
      <c r="S43" s="55"/>
      <c r="T43" s="55"/>
      <c r="U43" s="78"/>
      <c r="V43" s="55">
        <f>SUMIF(V$5:V$30,"a",$B$5:$B$30)*C4</f>
        <v>0</v>
      </c>
      <c r="W43" s="55"/>
      <c r="X43" s="55"/>
      <c r="Y43" s="55"/>
      <c r="Z43" s="55"/>
      <c r="AA43" s="78"/>
      <c r="AB43" s="55">
        <f>SUMIF(AB$5:AB$30,"a",$B$5:$B$30)*C4</f>
        <v>0</v>
      </c>
      <c r="AC43" s="55"/>
      <c r="AD43" s="55"/>
      <c r="AE43" s="55"/>
      <c r="AF43" s="55"/>
      <c r="AG43" s="56">
        <f t="shared" si="3"/>
        <v>0</v>
      </c>
    </row>
    <row r="44" spans="1:33">
      <c r="A44" s="57" t="e">
        <f t="shared" si="2"/>
        <v>#REF!</v>
      </c>
      <c r="B44" s="47"/>
      <c r="C44" s="58"/>
      <c r="D44" s="59"/>
      <c r="E44" s="59">
        <f>SUMIF(E$5:E$30,"a",$B$5:$B$30)*C4</f>
        <v>0</v>
      </c>
      <c r="F44" s="59"/>
      <c r="G44" s="59"/>
      <c r="H44" s="59"/>
      <c r="I44" s="58"/>
      <c r="J44" s="59"/>
      <c r="K44" s="59">
        <f>SUMIF(K$5:K$30,"a",$B$5:$B$30)*C4</f>
        <v>0</v>
      </c>
      <c r="L44" s="59"/>
      <c r="M44" s="59"/>
      <c r="N44" s="59"/>
      <c r="O44" s="58"/>
      <c r="P44" s="59"/>
      <c r="Q44" s="59">
        <f>SUMIF(Q$5:Q$30,"a",$B$5:$B$30)*C4</f>
        <v>0</v>
      </c>
      <c r="R44" s="59"/>
      <c r="S44" s="59"/>
      <c r="T44" s="59"/>
      <c r="U44" s="58"/>
      <c r="V44" s="59"/>
      <c r="W44" s="59">
        <f>SUMIF(W$5:W$30,"a",$B$5:$B$30)*C4</f>
        <v>0</v>
      </c>
      <c r="X44" s="59"/>
      <c r="Y44" s="59"/>
      <c r="Z44" s="59"/>
      <c r="AA44" s="58"/>
      <c r="AB44" s="59"/>
      <c r="AC44" s="59">
        <f>SUMIF(AC$5:AC$30,"a",$B$5:$B$30)*C4</f>
        <v>0</v>
      </c>
      <c r="AD44" s="59"/>
      <c r="AE44" s="59"/>
      <c r="AF44" s="59"/>
      <c r="AG44" s="60">
        <f t="shared" si="3"/>
        <v>0</v>
      </c>
    </row>
    <row r="45" spans="1:33">
      <c r="A45" s="61" t="e">
        <f t="shared" si="2"/>
        <v>#REF!</v>
      </c>
      <c r="B45" s="62"/>
      <c r="C45" s="63"/>
      <c r="D45" s="64"/>
      <c r="E45" s="64"/>
      <c r="F45" s="64">
        <f>SUMIF(F$5:F$30,"a",$B$5:$B$30)*C4</f>
        <v>0</v>
      </c>
      <c r="G45" s="64"/>
      <c r="H45" s="64"/>
      <c r="I45" s="63"/>
      <c r="J45" s="64"/>
      <c r="K45" s="64"/>
      <c r="L45" s="64">
        <f>SUMIF(L$5:L$30,"a",$B$5:$B$30)*C4</f>
        <v>0</v>
      </c>
      <c r="M45" s="64"/>
      <c r="N45" s="64"/>
      <c r="O45" s="63"/>
      <c r="P45" s="64"/>
      <c r="Q45" s="64"/>
      <c r="R45" s="64">
        <f>SUMIF(R$5:R$30,"a",$B$5:$B$30)*C4</f>
        <v>0</v>
      </c>
      <c r="S45" s="64"/>
      <c r="T45" s="64"/>
      <c r="U45" s="63"/>
      <c r="V45" s="64"/>
      <c r="W45" s="64"/>
      <c r="X45" s="64">
        <f>SUMIF(X$5:X$30,"a",$B$5:$B$30)*C4</f>
        <v>0</v>
      </c>
      <c r="Y45" s="64"/>
      <c r="Z45" s="64"/>
      <c r="AA45" s="63"/>
      <c r="AB45" s="64"/>
      <c r="AC45" s="64"/>
      <c r="AD45" s="64">
        <f>SUMIF(AD$5:AD$30,"a",$B$5:$B$30)*C4</f>
        <v>0</v>
      </c>
      <c r="AE45" s="64"/>
      <c r="AF45" s="64"/>
      <c r="AG45" s="65">
        <f t="shared" si="3"/>
        <v>0</v>
      </c>
    </row>
    <row r="46" spans="1:33">
      <c r="A46" s="66" t="e">
        <f t="shared" si="2"/>
        <v>#REF!</v>
      </c>
      <c r="B46" s="47"/>
      <c r="C46" s="67"/>
      <c r="D46" s="68"/>
      <c r="E46" s="68"/>
      <c r="F46" s="68"/>
      <c r="G46" s="68">
        <f>SUMIF(G$5:G$30,"a",$B$5:$B$30)*C4</f>
        <v>0</v>
      </c>
      <c r="H46" s="68"/>
      <c r="I46" s="67"/>
      <c r="J46" s="68"/>
      <c r="K46" s="68"/>
      <c r="L46" s="68"/>
      <c r="M46" s="68">
        <f>SUMIF(M$5:M$30,"a",$B$5:$B$30)*C4</f>
        <v>0</v>
      </c>
      <c r="N46" s="68"/>
      <c r="O46" s="67"/>
      <c r="P46" s="68"/>
      <c r="Q46" s="68"/>
      <c r="R46" s="68"/>
      <c r="S46" s="68">
        <f>SUMIF(S$5:S$30,"a",$B$5:$B$30)*C4</f>
        <v>0</v>
      </c>
      <c r="T46" s="68"/>
      <c r="U46" s="67"/>
      <c r="V46" s="68"/>
      <c r="W46" s="68"/>
      <c r="X46" s="68"/>
      <c r="Y46" s="68">
        <f>SUMIF(Y$5:Y$30,"a",$B$5:$B$30)*C4</f>
        <v>0</v>
      </c>
      <c r="Z46" s="68"/>
      <c r="AA46" s="67"/>
      <c r="AB46" s="68"/>
      <c r="AC46" s="68"/>
      <c r="AD46" s="68"/>
      <c r="AE46" s="68">
        <f>SUMIF(AE$5:AE$30,"a",$B$5:$B$30)*C4</f>
        <v>0</v>
      </c>
      <c r="AF46" s="68"/>
      <c r="AG46" s="69">
        <f t="shared" si="3"/>
        <v>0</v>
      </c>
    </row>
    <row r="47" spans="1:33">
      <c r="A47" s="70" t="e">
        <f t="shared" si="2"/>
        <v>#REF!</v>
      </c>
      <c r="B47" s="47"/>
      <c r="C47" s="71"/>
      <c r="D47" s="72"/>
      <c r="E47" s="72"/>
      <c r="F47" s="72"/>
      <c r="G47" s="72"/>
      <c r="H47" s="72">
        <f>SUMIF(H$5:H$30,"a",$B$5:$B$30)*C4</f>
        <v>0</v>
      </c>
      <c r="I47" s="71"/>
      <c r="J47" s="72"/>
      <c r="K47" s="72"/>
      <c r="L47" s="72"/>
      <c r="M47" s="72"/>
      <c r="N47" s="72">
        <f>SUMIF(N$5:N$30,"a",$B$5:$B$30)*C4</f>
        <v>0</v>
      </c>
      <c r="O47" s="71"/>
      <c r="P47" s="72"/>
      <c r="Q47" s="72"/>
      <c r="R47" s="72"/>
      <c r="S47" s="72"/>
      <c r="T47" s="72">
        <f>SUMIF(T$5:T$30,"a",$B$5:$B$30)*C4</f>
        <v>0</v>
      </c>
      <c r="U47" s="71"/>
      <c r="V47" s="72"/>
      <c r="W47" s="72"/>
      <c r="X47" s="72"/>
      <c r="Y47" s="72"/>
      <c r="Z47" s="72">
        <f>SUMIF(Z$5:Z$30,"a",$B$5:$B$30)*C4</f>
        <v>0</v>
      </c>
      <c r="AA47" s="71"/>
      <c r="AB47" s="72"/>
      <c r="AC47" s="72"/>
      <c r="AD47" s="72"/>
      <c r="AE47" s="72"/>
      <c r="AF47" s="72">
        <f>SUMIF(AF$5:AF$30,"a",$B$5:$B$30)*C4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C2:H2"/>
    <mergeCell ref="I2:N2"/>
    <mergeCell ref="O2:T2"/>
    <mergeCell ref="U2:Z2"/>
    <mergeCell ref="AA2:AF2"/>
    <mergeCell ref="A1:A2"/>
    <mergeCell ref="B1:B2"/>
    <mergeCell ref="A4:B4"/>
    <mergeCell ref="A31:AG31"/>
    <mergeCell ref="AA41:AF41"/>
    <mergeCell ref="A41:B41"/>
    <mergeCell ref="C41:H41"/>
    <mergeCell ref="I41:N41"/>
    <mergeCell ref="O41:T41"/>
    <mergeCell ref="U41:Z41"/>
    <mergeCell ref="A32:B32"/>
    <mergeCell ref="C32:H32"/>
    <mergeCell ref="I32:N32"/>
    <mergeCell ref="O32:T32"/>
    <mergeCell ref="U32:Z32"/>
    <mergeCell ref="AA32:AF32"/>
  </mergeCells>
  <phoneticPr fontId="25" type="noConversion"/>
  <printOptions horizontalCentered="1"/>
  <pageMargins left="0.15748031496062992" right="0.15748031496062992" top="1.1811023622047245" bottom="0.39370078740157483" header="0.51181102362204722" footer="0.51181102362204722"/>
  <pageSetup paperSize="9" scale="62" orientation="landscape" horizontalDpi="4294967292" verticalDpi="4294967292"/>
  <headerFooter>
    <oddFooter>&amp;RUdskrevet den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74B56-95EB-4342-BD8D-25B773C6449F}">
  <sheetPr>
    <pageSetUpPr fitToPage="1"/>
  </sheetPr>
  <dimension ref="A1:AV33"/>
  <sheetViews>
    <sheetView workbookViewId="0">
      <selection activeCell="A2" sqref="A2"/>
    </sheetView>
  </sheetViews>
  <sheetFormatPr baseColWidth="10" defaultRowHeight="16"/>
  <cols>
    <col min="1" max="2" width="2.42578125" style="668" customWidth="1"/>
    <col min="3" max="3" width="10.140625" style="668" customWidth="1"/>
    <col min="4" max="4" width="2.42578125" style="680" customWidth="1"/>
    <col min="5" max="6" width="2.42578125" style="668" customWidth="1"/>
    <col min="7" max="7" width="10.140625" style="668" customWidth="1"/>
    <col min="8" max="10" width="2.42578125" style="668" customWidth="1"/>
    <col min="11" max="11" width="10.140625" style="668" customWidth="1"/>
    <col min="12" max="14" width="2.42578125" style="668" customWidth="1"/>
    <col min="15" max="15" width="10.140625" style="668" customWidth="1"/>
    <col min="16" max="18" width="2.42578125" style="668" customWidth="1"/>
    <col min="19" max="19" width="10.140625" style="668" customWidth="1"/>
    <col min="20" max="22" width="2.42578125" style="668" customWidth="1"/>
    <col min="23" max="23" width="10.140625" style="668" customWidth="1"/>
    <col min="24" max="26" width="2.42578125" style="668" customWidth="1"/>
    <col min="27" max="27" width="10.140625" style="668" customWidth="1"/>
    <col min="28" max="30" width="2.42578125" style="668" customWidth="1"/>
    <col min="31" max="31" width="10.140625" style="668" customWidth="1"/>
    <col min="32" max="34" width="2.42578125" style="668" customWidth="1"/>
    <col min="35" max="35" width="10.140625" style="668" customWidth="1"/>
    <col min="36" max="38" width="2.42578125" style="668" customWidth="1"/>
    <col min="39" max="39" width="10.140625" style="668" customWidth="1"/>
    <col min="40" max="42" width="2.42578125" style="668" customWidth="1"/>
    <col min="43" max="43" width="10.140625" style="668" customWidth="1"/>
    <col min="44" max="46" width="2.42578125" style="668" customWidth="1"/>
    <col min="47" max="47" width="10.140625" style="668" customWidth="1"/>
    <col min="48" max="48" width="2.42578125" style="668" customWidth="1"/>
    <col min="49" max="16384" width="10.7109375" style="668"/>
  </cols>
  <sheetData>
    <row r="1" spans="1:48" ht="31" thickBot="1">
      <c r="A1" s="663" t="s">
        <v>271</v>
      </c>
      <c r="B1" s="664"/>
      <c r="C1" s="665"/>
      <c r="D1" s="666"/>
      <c r="E1" s="665"/>
      <c r="F1" s="664"/>
      <c r="G1" s="665"/>
      <c r="H1" s="666"/>
      <c r="I1" s="665"/>
      <c r="J1" s="664"/>
      <c r="K1" s="665"/>
      <c r="L1" s="666"/>
      <c r="M1" s="665"/>
      <c r="N1" s="664"/>
      <c r="O1" s="665"/>
      <c r="P1" s="666"/>
      <c r="Q1" s="665"/>
      <c r="R1" s="664"/>
      <c r="S1" s="665"/>
      <c r="T1" s="666"/>
      <c r="U1" s="665"/>
      <c r="V1" s="664"/>
      <c r="W1" s="665"/>
      <c r="X1" s="666"/>
      <c r="Y1" s="665"/>
      <c r="Z1" s="664"/>
      <c r="AA1" s="665"/>
      <c r="AB1" s="666"/>
      <c r="AC1" s="665"/>
      <c r="AD1" s="664"/>
      <c r="AE1" s="665"/>
      <c r="AF1" s="666"/>
      <c r="AG1" s="665"/>
      <c r="AH1" s="664"/>
      <c r="AI1" s="665"/>
      <c r="AJ1" s="666"/>
      <c r="AK1" s="665"/>
      <c r="AL1" s="664"/>
      <c r="AM1" s="665"/>
      <c r="AN1" s="666"/>
      <c r="AO1" s="665"/>
      <c r="AP1" s="664"/>
      <c r="AQ1" s="665"/>
      <c r="AR1" s="666"/>
      <c r="AS1" s="665"/>
      <c r="AT1" s="664"/>
      <c r="AU1" s="665"/>
      <c r="AV1" s="667"/>
    </row>
    <row r="2" spans="1:48" ht="18">
      <c r="A2" s="669" t="s">
        <v>44</v>
      </c>
      <c r="B2" s="670"/>
      <c r="C2" s="671"/>
      <c r="D2" s="672"/>
      <c r="E2" s="669" t="s">
        <v>45</v>
      </c>
      <c r="F2" s="670"/>
      <c r="G2" s="671"/>
      <c r="H2" s="672"/>
      <c r="I2" s="673" t="s">
        <v>46</v>
      </c>
      <c r="J2" s="670"/>
      <c r="K2" s="671"/>
      <c r="L2" s="672"/>
      <c r="M2" s="669" t="s">
        <v>47</v>
      </c>
      <c r="N2" s="670"/>
      <c r="O2" s="671"/>
      <c r="P2" s="672"/>
      <c r="Q2" s="669" t="s">
        <v>48</v>
      </c>
      <c r="R2" s="670"/>
      <c r="S2" s="671"/>
      <c r="T2" s="672"/>
      <c r="U2" s="669" t="s">
        <v>49</v>
      </c>
      <c r="V2" s="670"/>
      <c r="W2" s="671"/>
      <c r="X2" s="672"/>
      <c r="Y2" s="673" t="s">
        <v>50</v>
      </c>
      <c r="Z2" s="670"/>
      <c r="AA2" s="671"/>
      <c r="AB2" s="672"/>
      <c r="AC2" s="669" t="s">
        <v>51</v>
      </c>
      <c r="AD2" s="670"/>
      <c r="AE2" s="671"/>
      <c r="AF2" s="672"/>
      <c r="AG2" s="669" t="s">
        <v>52</v>
      </c>
      <c r="AH2" s="670"/>
      <c r="AI2" s="671"/>
      <c r="AJ2" s="672"/>
      <c r="AK2" s="669" t="s">
        <v>53</v>
      </c>
      <c r="AL2" s="670"/>
      <c r="AM2" s="671"/>
      <c r="AN2" s="672"/>
      <c r="AO2" s="669" t="s">
        <v>54</v>
      </c>
      <c r="AP2" s="670"/>
      <c r="AQ2" s="671"/>
      <c r="AR2" s="672"/>
      <c r="AS2" s="669" t="s">
        <v>55</v>
      </c>
      <c r="AT2" s="670"/>
      <c r="AU2" s="671"/>
      <c r="AV2" s="672"/>
    </row>
    <row r="3" spans="1:48">
      <c r="A3" s="644">
        <v>1</v>
      </c>
      <c r="B3" s="645" t="s">
        <v>114</v>
      </c>
      <c r="C3" s="650"/>
      <c r="D3" s="674">
        <v>31.285714285714285</v>
      </c>
      <c r="E3" s="568">
        <v>1</v>
      </c>
      <c r="F3" s="569" t="s">
        <v>115</v>
      </c>
      <c r="G3" s="570"/>
      <c r="H3" s="571" t="s">
        <v>112</v>
      </c>
      <c r="I3" s="675">
        <v>1</v>
      </c>
      <c r="J3" s="676" t="s">
        <v>113</v>
      </c>
      <c r="K3" s="574"/>
      <c r="L3" s="662" t="s">
        <v>112</v>
      </c>
      <c r="M3" s="568">
        <v>1</v>
      </c>
      <c r="N3" s="569" t="s">
        <v>116</v>
      </c>
      <c r="O3" s="570"/>
      <c r="P3" s="571" t="s">
        <v>112</v>
      </c>
      <c r="Q3" s="644">
        <v>1</v>
      </c>
      <c r="R3" s="645" t="s">
        <v>115</v>
      </c>
      <c r="S3" s="570"/>
      <c r="T3" s="648" t="s">
        <v>112</v>
      </c>
      <c r="U3" s="675">
        <v>1</v>
      </c>
      <c r="V3" s="676" t="s">
        <v>118</v>
      </c>
      <c r="W3" s="574" t="s">
        <v>58</v>
      </c>
      <c r="X3" s="662" t="s">
        <v>112</v>
      </c>
      <c r="Y3" s="568">
        <v>1</v>
      </c>
      <c r="Z3" s="569" t="s">
        <v>111</v>
      </c>
      <c r="AA3" s="570"/>
      <c r="AB3" s="571" t="s">
        <v>112</v>
      </c>
      <c r="AC3" s="644">
        <v>1</v>
      </c>
      <c r="AD3" s="645" t="s">
        <v>111</v>
      </c>
      <c r="AE3" s="570"/>
      <c r="AF3" s="648" t="s">
        <v>112</v>
      </c>
      <c r="AG3" s="572">
        <v>1</v>
      </c>
      <c r="AH3" s="573" t="s">
        <v>113</v>
      </c>
      <c r="AI3" s="574"/>
      <c r="AJ3" s="575" t="s">
        <v>112</v>
      </c>
      <c r="AK3" s="644">
        <v>1</v>
      </c>
      <c r="AL3" s="645" t="s">
        <v>114</v>
      </c>
      <c r="AM3" s="570"/>
      <c r="AN3" s="648">
        <v>18.142857142857142</v>
      </c>
      <c r="AO3" s="568">
        <v>1</v>
      </c>
      <c r="AP3" s="569" t="s">
        <v>115</v>
      </c>
      <c r="AQ3" s="570"/>
      <c r="AR3" s="571" t="s">
        <v>112</v>
      </c>
      <c r="AS3" s="675">
        <v>1</v>
      </c>
      <c r="AT3" s="676" t="s">
        <v>113</v>
      </c>
      <c r="AU3" s="574"/>
      <c r="AV3" s="662" t="s">
        <v>112</v>
      </c>
    </row>
    <row r="4" spans="1:48">
      <c r="A4" s="568">
        <v>2</v>
      </c>
      <c r="B4" s="569" t="s">
        <v>116</v>
      </c>
      <c r="C4" s="578"/>
      <c r="D4" s="677" t="s">
        <v>112</v>
      </c>
      <c r="E4" s="568">
        <v>2</v>
      </c>
      <c r="F4" s="569" t="s">
        <v>117</v>
      </c>
      <c r="G4" s="576"/>
      <c r="H4" s="571" t="s">
        <v>112</v>
      </c>
      <c r="I4" s="572">
        <v>2</v>
      </c>
      <c r="J4" s="573" t="s">
        <v>118</v>
      </c>
      <c r="K4" s="577"/>
      <c r="L4" s="580" t="s">
        <v>112</v>
      </c>
      <c r="M4" s="568">
        <v>2</v>
      </c>
      <c r="N4" s="569" t="s">
        <v>111</v>
      </c>
      <c r="O4" s="576"/>
      <c r="P4" s="571" t="s">
        <v>112</v>
      </c>
      <c r="Q4" s="568">
        <v>2</v>
      </c>
      <c r="R4" s="569" t="s">
        <v>117</v>
      </c>
      <c r="S4" s="576"/>
      <c r="T4" s="649" t="s">
        <v>112</v>
      </c>
      <c r="U4" s="568">
        <v>2</v>
      </c>
      <c r="V4" s="569" t="s">
        <v>114</v>
      </c>
      <c r="W4" s="576"/>
      <c r="X4" s="649">
        <v>1.1428571428571428</v>
      </c>
      <c r="Y4" s="568">
        <v>2</v>
      </c>
      <c r="Z4" s="569" t="s">
        <v>115</v>
      </c>
      <c r="AA4" s="576"/>
      <c r="AB4" s="571" t="s">
        <v>112</v>
      </c>
      <c r="AC4" s="568">
        <v>2</v>
      </c>
      <c r="AD4" s="569" t="s">
        <v>115</v>
      </c>
      <c r="AE4" s="576"/>
      <c r="AF4" s="649" t="s">
        <v>112</v>
      </c>
      <c r="AG4" s="572">
        <v>2</v>
      </c>
      <c r="AH4" s="573" t="s">
        <v>118</v>
      </c>
      <c r="AI4" s="577" t="s">
        <v>201</v>
      </c>
      <c r="AJ4" s="575" t="s">
        <v>112</v>
      </c>
      <c r="AK4" s="568">
        <v>2</v>
      </c>
      <c r="AL4" s="569" t="s">
        <v>116</v>
      </c>
      <c r="AM4" s="576"/>
      <c r="AN4" s="649" t="s">
        <v>112</v>
      </c>
      <c r="AO4" s="568">
        <v>2</v>
      </c>
      <c r="AP4" s="569" t="s">
        <v>117</v>
      </c>
      <c r="AQ4" s="576"/>
      <c r="AR4" s="571" t="s">
        <v>112</v>
      </c>
      <c r="AS4" s="572">
        <v>2</v>
      </c>
      <c r="AT4" s="573" t="s">
        <v>118</v>
      </c>
      <c r="AU4" s="577"/>
      <c r="AV4" s="580" t="s">
        <v>112</v>
      </c>
    </row>
    <row r="5" spans="1:48">
      <c r="A5" s="568">
        <v>3</v>
      </c>
      <c r="B5" s="569" t="s">
        <v>111</v>
      </c>
      <c r="C5" s="578"/>
      <c r="D5" s="677" t="s">
        <v>112</v>
      </c>
      <c r="E5" s="572">
        <v>3</v>
      </c>
      <c r="F5" s="573" t="s">
        <v>113</v>
      </c>
      <c r="G5" s="577"/>
      <c r="H5" s="575" t="s">
        <v>112</v>
      </c>
      <c r="I5" s="568">
        <v>3</v>
      </c>
      <c r="J5" s="569" t="s">
        <v>114</v>
      </c>
      <c r="K5" s="576"/>
      <c r="L5" s="649">
        <v>40.285714285714285</v>
      </c>
      <c r="M5" s="568">
        <v>3</v>
      </c>
      <c r="N5" s="569" t="s">
        <v>115</v>
      </c>
      <c r="O5" s="576"/>
      <c r="P5" s="571" t="s">
        <v>112</v>
      </c>
      <c r="Q5" s="572">
        <v>3</v>
      </c>
      <c r="R5" s="573" t="s">
        <v>113</v>
      </c>
      <c r="S5" s="577"/>
      <c r="T5" s="580" t="s">
        <v>112</v>
      </c>
      <c r="U5" s="568">
        <v>3</v>
      </c>
      <c r="V5" s="569" t="s">
        <v>116</v>
      </c>
      <c r="W5" s="576"/>
      <c r="X5" s="649" t="s">
        <v>112</v>
      </c>
      <c r="Y5" s="568">
        <v>3</v>
      </c>
      <c r="Z5" s="569" t="s">
        <v>117</v>
      </c>
      <c r="AA5" s="576"/>
      <c r="AB5" s="571" t="s">
        <v>112</v>
      </c>
      <c r="AC5" s="568">
        <v>3</v>
      </c>
      <c r="AD5" s="569" t="s">
        <v>117</v>
      </c>
      <c r="AE5" s="576"/>
      <c r="AF5" s="649" t="s">
        <v>112</v>
      </c>
      <c r="AG5" s="568">
        <v>3</v>
      </c>
      <c r="AH5" s="569" t="s">
        <v>114</v>
      </c>
      <c r="AI5" s="576"/>
      <c r="AJ5" s="571">
        <v>14.142857142857142</v>
      </c>
      <c r="AK5" s="568">
        <v>3</v>
      </c>
      <c r="AL5" s="569" t="s">
        <v>111</v>
      </c>
      <c r="AM5" s="576"/>
      <c r="AN5" s="649" t="s">
        <v>112</v>
      </c>
      <c r="AO5" s="572">
        <v>3</v>
      </c>
      <c r="AP5" s="573" t="s">
        <v>113</v>
      </c>
      <c r="AQ5" s="577"/>
      <c r="AR5" s="575" t="s">
        <v>112</v>
      </c>
      <c r="AS5" s="568">
        <v>3</v>
      </c>
      <c r="AT5" s="569" t="s">
        <v>114</v>
      </c>
      <c r="AU5" s="576"/>
      <c r="AV5" s="649">
        <v>27.142857142857142</v>
      </c>
    </row>
    <row r="6" spans="1:48">
      <c r="A6" s="568">
        <v>4</v>
      </c>
      <c r="B6" s="569" t="s">
        <v>115</v>
      </c>
      <c r="C6" s="578"/>
      <c r="D6" s="677" t="s">
        <v>112</v>
      </c>
      <c r="E6" s="572">
        <v>4</v>
      </c>
      <c r="F6" s="573" t="s">
        <v>118</v>
      </c>
      <c r="G6" s="577"/>
      <c r="H6" s="575" t="s">
        <v>112</v>
      </c>
      <c r="I6" s="568">
        <v>4</v>
      </c>
      <c r="J6" s="569" t="s">
        <v>116</v>
      </c>
      <c r="K6" s="576"/>
      <c r="L6" s="649" t="s">
        <v>112</v>
      </c>
      <c r="M6" s="568">
        <v>4</v>
      </c>
      <c r="N6" s="569" t="s">
        <v>117</v>
      </c>
      <c r="O6" s="576"/>
      <c r="P6" s="571" t="s">
        <v>112</v>
      </c>
      <c r="Q6" s="572">
        <v>4</v>
      </c>
      <c r="R6" s="573" t="s">
        <v>118</v>
      </c>
      <c r="S6" s="577"/>
      <c r="T6" s="580" t="s">
        <v>112</v>
      </c>
      <c r="U6" s="568">
        <v>4</v>
      </c>
      <c r="V6" s="569" t="s">
        <v>111</v>
      </c>
      <c r="W6" s="576"/>
      <c r="X6" s="649" t="s">
        <v>112</v>
      </c>
      <c r="Y6" s="572">
        <v>4</v>
      </c>
      <c r="Z6" s="573" t="s">
        <v>113</v>
      </c>
      <c r="AA6" s="577"/>
      <c r="AB6" s="575" t="s">
        <v>112</v>
      </c>
      <c r="AC6" s="572">
        <v>4</v>
      </c>
      <c r="AD6" s="573" t="s">
        <v>113</v>
      </c>
      <c r="AE6" s="577"/>
      <c r="AF6" s="580" t="s">
        <v>112</v>
      </c>
      <c r="AG6" s="568">
        <v>4</v>
      </c>
      <c r="AH6" s="569" t="s">
        <v>116</v>
      </c>
      <c r="AI6" s="576"/>
      <c r="AJ6" s="571" t="s">
        <v>112</v>
      </c>
      <c r="AK6" s="568">
        <v>4</v>
      </c>
      <c r="AL6" s="569" t="s">
        <v>115</v>
      </c>
      <c r="AM6" s="576"/>
      <c r="AN6" s="649" t="s">
        <v>112</v>
      </c>
      <c r="AO6" s="572">
        <v>4</v>
      </c>
      <c r="AP6" s="573" t="s">
        <v>118</v>
      </c>
      <c r="AQ6" s="577"/>
      <c r="AR6" s="575" t="s">
        <v>112</v>
      </c>
      <c r="AS6" s="568">
        <v>4</v>
      </c>
      <c r="AT6" s="569" t="s">
        <v>116</v>
      </c>
      <c r="AU6" s="576"/>
      <c r="AV6" s="649" t="s">
        <v>112</v>
      </c>
    </row>
    <row r="7" spans="1:48">
      <c r="A7" s="568">
        <v>5</v>
      </c>
      <c r="B7" s="569" t="s">
        <v>117</v>
      </c>
      <c r="C7" s="578"/>
      <c r="D7" s="678" t="s">
        <v>112</v>
      </c>
      <c r="E7" s="568">
        <v>5</v>
      </c>
      <c r="F7" s="569" t="s">
        <v>114</v>
      </c>
      <c r="G7" s="576"/>
      <c r="H7" s="571">
        <v>36.285714285714285</v>
      </c>
      <c r="I7" s="568">
        <v>5</v>
      </c>
      <c r="J7" s="569" t="s">
        <v>111</v>
      </c>
      <c r="K7" s="576"/>
      <c r="L7" s="649" t="s">
        <v>112</v>
      </c>
      <c r="M7" s="572">
        <v>5</v>
      </c>
      <c r="N7" s="573" t="s">
        <v>113</v>
      </c>
      <c r="O7" s="577"/>
      <c r="P7" s="575" t="s">
        <v>112</v>
      </c>
      <c r="Q7" s="568">
        <v>5</v>
      </c>
      <c r="R7" s="569" t="s">
        <v>114</v>
      </c>
      <c r="S7" s="576"/>
      <c r="T7" s="649">
        <v>49.285714285714285</v>
      </c>
      <c r="U7" s="568">
        <v>5</v>
      </c>
      <c r="V7" s="569" t="s">
        <v>115</v>
      </c>
      <c r="W7" s="576"/>
      <c r="X7" s="649" t="s">
        <v>112</v>
      </c>
      <c r="Y7" s="572">
        <v>5</v>
      </c>
      <c r="Z7" s="573" t="s">
        <v>118</v>
      </c>
      <c r="AA7" s="577"/>
      <c r="AB7" s="575" t="s">
        <v>112</v>
      </c>
      <c r="AC7" s="572">
        <v>5</v>
      </c>
      <c r="AD7" s="573" t="s">
        <v>118</v>
      </c>
      <c r="AE7" s="577"/>
      <c r="AF7" s="580" t="s">
        <v>112</v>
      </c>
      <c r="AG7" s="568">
        <v>5</v>
      </c>
      <c r="AH7" s="569" t="s">
        <v>111</v>
      </c>
      <c r="AI7" s="576"/>
      <c r="AJ7" s="571" t="s">
        <v>112</v>
      </c>
      <c r="AK7" s="568">
        <v>5</v>
      </c>
      <c r="AL7" s="569" t="s">
        <v>117</v>
      </c>
      <c r="AM7" s="576" t="s">
        <v>94</v>
      </c>
      <c r="AN7" s="649" t="s">
        <v>112</v>
      </c>
      <c r="AO7" s="568">
        <v>5</v>
      </c>
      <c r="AP7" s="569" t="s">
        <v>114</v>
      </c>
      <c r="AQ7" s="576" t="s">
        <v>264</v>
      </c>
      <c r="AR7" s="571">
        <v>23.142857142857142</v>
      </c>
      <c r="AS7" s="568">
        <v>5</v>
      </c>
      <c r="AT7" s="569" t="s">
        <v>111</v>
      </c>
      <c r="AU7" s="576"/>
      <c r="AV7" s="649" t="s">
        <v>112</v>
      </c>
    </row>
    <row r="8" spans="1:48">
      <c r="A8" s="572">
        <v>6</v>
      </c>
      <c r="B8" s="573" t="s">
        <v>113</v>
      </c>
      <c r="C8" s="579"/>
      <c r="D8" s="679" t="s">
        <v>112</v>
      </c>
      <c r="E8" s="568">
        <v>6</v>
      </c>
      <c r="F8" s="569" t="s">
        <v>116</v>
      </c>
      <c r="G8" s="576"/>
      <c r="H8" s="571" t="s">
        <v>112</v>
      </c>
      <c r="I8" s="568">
        <v>6</v>
      </c>
      <c r="J8" s="569" t="s">
        <v>115</v>
      </c>
      <c r="K8" s="576"/>
      <c r="L8" s="649" t="s">
        <v>112</v>
      </c>
      <c r="M8" s="572">
        <v>6</v>
      </c>
      <c r="N8" s="573" t="s">
        <v>118</v>
      </c>
      <c r="O8" s="577"/>
      <c r="P8" s="575" t="s">
        <v>112</v>
      </c>
      <c r="Q8" s="568">
        <v>6</v>
      </c>
      <c r="R8" s="569" t="s">
        <v>116</v>
      </c>
      <c r="S8" s="576"/>
      <c r="T8" s="649" t="s">
        <v>112</v>
      </c>
      <c r="U8" s="568">
        <v>6</v>
      </c>
      <c r="V8" s="569" t="s">
        <v>117</v>
      </c>
      <c r="W8" s="576"/>
      <c r="X8" s="649" t="s">
        <v>112</v>
      </c>
      <c r="Y8" s="568">
        <v>6</v>
      </c>
      <c r="Z8" s="569" t="s">
        <v>114</v>
      </c>
      <c r="AA8" s="576"/>
      <c r="AB8" s="571">
        <v>6.1428571428571432</v>
      </c>
      <c r="AC8" s="568">
        <v>6</v>
      </c>
      <c r="AD8" s="569" t="s">
        <v>114</v>
      </c>
      <c r="AE8" s="576"/>
      <c r="AF8" s="649">
        <v>10.142857142857142</v>
      </c>
      <c r="AG8" s="568">
        <v>6</v>
      </c>
      <c r="AH8" s="569" t="s">
        <v>115</v>
      </c>
      <c r="AI8" s="576" t="s">
        <v>61</v>
      </c>
      <c r="AJ8" s="571" t="s">
        <v>112</v>
      </c>
      <c r="AK8" s="572">
        <v>6</v>
      </c>
      <c r="AL8" s="573" t="s">
        <v>113</v>
      </c>
      <c r="AM8" s="577"/>
      <c r="AN8" s="580" t="s">
        <v>112</v>
      </c>
      <c r="AO8" s="568">
        <v>6</v>
      </c>
      <c r="AP8" s="569" t="s">
        <v>116</v>
      </c>
      <c r="AQ8" s="576"/>
      <c r="AR8" s="571" t="s">
        <v>112</v>
      </c>
      <c r="AS8" s="568">
        <v>6</v>
      </c>
      <c r="AT8" s="569" t="s">
        <v>115</v>
      </c>
      <c r="AU8" s="576"/>
      <c r="AV8" s="649" t="s">
        <v>112</v>
      </c>
    </row>
    <row r="9" spans="1:48">
      <c r="A9" s="572">
        <v>7</v>
      </c>
      <c r="B9" s="573" t="s">
        <v>118</v>
      </c>
      <c r="C9" s="579"/>
      <c r="D9" s="679" t="s">
        <v>112</v>
      </c>
      <c r="E9" s="568">
        <v>7</v>
      </c>
      <c r="F9" s="569" t="s">
        <v>111</v>
      </c>
      <c r="G9" s="576"/>
      <c r="H9" s="571" t="s">
        <v>112</v>
      </c>
      <c r="I9" s="568">
        <v>7</v>
      </c>
      <c r="J9" s="569" t="s">
        <v>117</v>
      </c>
      <c r="K9" s="576"/>
      <c r="L9" s="649" t="s">
        <v>112</v>
      </c>
      <c r="M9" s="568">
        <v>7</v>
      </c>
      <c r="N9" s="569" t="s">
        <v>114</v>
      </c>
      <c r="O9" s="576"/>
      <c r="P9" s="571">
        <v>45.285714285714285</v>
      </c>
      <c r="Q9" s="568">
        <v>7</v>
      </c>
      <c r="R9" s="569" t="s">
        <v>111</v>
      </c>
      <c r="S9" s="576"/>
      <c r="T9" s="649" t="s">
        <v>112</v>
      </c>
      <c r="U9" s="572">
        <v>7</v>
      </c>
      <c r="V9" s="573" t="s">
        <v>113</v>
      </c>
      <c r="W9" s="577"/>
      <c r="X9" s="580" t="s">
        <v>112</v>
      </c>
      <c r="Y9" s="568">
        <v>7</v>
      </c>
      <c r="Z9" s="569" t="s">
        <v>116</v>
      </c>
      <c r="AA9" s="576"/>
      <c r="AB9" s="571" t="s">
        <v>112</v>
      </c>
      <c r="AC9" s="568">
        <v>7</v>
      </c>
      <c r="AD9" s="569" t="s">
        <v>116</v>
      </c>
      <c r="AE9" s="576"/>
      <c r="AF9" s="649" t="s">
        <v>112</v>
      </c>
      <c r="AG9" s="568">
        <v>7</v>
      </c>
      <c r="AH9" s="569" t="s">
        <v>117</v>
      </c>
      <c r="AI9" s="576" t="s">
        <v>94</v>
      </c>
      <c r="AJ9" s="571" t="s">
        <v>112</v>
      </c>
      <c r="AK9" s="572">
        <v>7</v>
      </c>
      <c r="AL9" s="573" t="s">
        <v>118</v>
      </c>
      <c r="AM9" s="577"/>
      <c r="AN9" s="580" t="s">
        <v>112</v>
      </c>
      <c r="AO9" s="568">
        <v>7</v>
      </c>
      <c r="AP9" s="569" t="s">
        <v>111</v>
      </c>
      <c r="AQ9" s="576"/>
      <c r="AR9" s="571" t="s">
        <v>112</v>
      </c>
      <c r="AS9" s="568">
        <v>7</v>
      </c>
      <c r="AT9" s="569" t="s">
        <v>117</v>
      </c>
      <c r="AU9" s="576"/>
      <c r="AV9" s="649" t="s">
        <v>112</v>
      </c>
    </row>
    <row r="10" spans="1:48">
      <c r="A10" s="568">
        <v>8</v>
      </c>
      <c r="B10" s="569" t="s">
        <v>114</v>
      </c>
      <c r="C10" s="578"/>
      <c r="D10" s="677">
        <v>32.285714285714285</v>
      </c>
      <c r="E10" s="568">
        <v>8</v>
      </c>
      <c r="F10" s="569" t="s">
        <v>115</v>
      </c>
      <c r="G10" s="576"/>
      <c r="H10" s="571" t="s">
        <v>112</v>
      </c>
      <c r="I10" s="572">
        <v>8</v>
      </c>
      <c r="J10" s="573" t="s">
        <v>113</v>
      </c>
      <c r="K10" s="577"/>
      <c r="L10" s="580" t="s">
        <v>112</v>
      </c>
      <c r="M10" s="568">
        <v>8</v>
      </c>
      <c r="N10" s="569" t="s">
        <v>116</v>
      </c>
      <c r="O10" s="576"/>
      <c r="P10" s="571" t="s">
        <v>112</v>
      </c>
      <c r="Q10" s="568">
        <v>8</v>
      </c>
      <c r="R10" s="569" t="s">
        <v>115</v>
      </c>
      <c r="S10" s="576"/>
      <c r="T10" s="649" t="s">
        <v>112</v>
      </c>
      <c r="U10" s="572">
        <v>8</v>
      </c>
      <c r="V10" s="573" t="s">
        <v>118</v>
      </c>
      <c r="W10" s="577"/>
      <c r="X10" s="580" t="s">
        <v>112</v>
      </c>
      <c r="Y10" s="568">
        <v>8</v>
      </c>
      <c r="Z10" s="569" t="s">
        <v>111</v>
      </c>
      <c r="AA10" s="576"/>
      <c r="AB10" s="571" t="s">
        <v>112</v>
      </c>
      <c r="AC10" s="568">
        <v>8</v>
      </c>
      <c r="AD10" s="569" t="s">
        <v>111</v>
      </c>
      <c r="AE10" s="576"/>
      <c r="AF10" s="649" t="s">
        <v>112</v>
      </c>
      <c r="AG10" s="572">
        <v>8</v>
      </c>
      <c r="AH10" s="573" t="s">
        <v>113</v>
      </c>
      <c r="AI10" s="577"/>
      <c r="AJ10" s="575" t="s">
        <v>112</v>
      </c>
      <c r="AK10" s="568">
        <v>8</v>
      </c>
      <c r="AL10" s="569" t="s">
        <v>114</v>
      </c>
      <c r="AM10" s="576"/>
      <c r="AN10" s="649">
        <v>19.142857142857142</v>
      </c>
      <c r="AO10" s="568">
        <v>8</v>
      </c>
      <c r="AP10" s="569" t="s">
        <v>115</v>
      </c>
      <c r="AQ10" s="576"/>
      <c r="AR10" s="571" t="s">
        <v>112</v>
      </c>
      <c r="AS10" s="572">
        <v>8</v>
      </c>
      <c r="AT10" s="573" t="s">
        <v>113</v>
      </c>
      <c r="AU10" s="577"/>
      <c r="AV10" s="580" t="s">
        <v>112</v>
      </c>
    </row>
    <row r="11" spans="1:48">
      <c r="A11" s="568">
        <v>9</v>
      </c>
      <c r="B11" s="569" t="s">
        <v>116</v>
      </c>
      <c r="C11" s="578"/>
      <c r="D11" s="677" t="s">
        <v>112</v>
      </c>
      <c r="E11" s="568">
        <v>9</v>
      </c>
      <c r="F11" s="569" t="s">
        <v>117</v>
      </c>
      <c r="G11" s="576"/>
      <c r="H11" s="571" t="s">
        <v>112</v>
      </c>
      <c r="I11" s="572">
        <v>9</v>
      </c>
      <c r="J11" s="573" t="s">
        <v>118</v>
      </c>
      <c r="K11" s="577"/>
      <c r="L11" s="580" t="s">
        <v>112</v>
      </c>
      <c r="M11" s="568">
        <v>9</v>
      </c>
      <c r="N11" s="569" t="s">
        <v>111</v>
      </c>
      <c r="O11" s="576"/>
      <c r="P11" s="571" t="s">
        <v>112</v>
      </c>
      <c r="Q11" s="568">
        <v>9</v>
      </c>
      <c r="R11" s="569" t="s">
        <v>117</v>
      </c>
      <c r="S11" s="576"/>
      <c r="T11" s="649" t="s">
        <v>112</v>
      </c>
      <c r="U11" s="568">
        <v>9</v>
      </c>
      <c r="V11" s="569" t="s">
        <v>114</v>
      </c>
      <c r="W11" s="576"/>
      <c r="X11" s="649">
        <v>2.1428571428571428</v>
      </c>
      <c r="Y11" s="568">
        <v>9</v>
      </c>
      <c r="Z11" s="569" t="s">
        <v>115</v>
      </c>
      <c r="AA11" s="576"/>
      <c r="AB11" s="571" t="s">
        <v>112</v>
      </c>
      <c r="AC11" s="568">
        <v>9</v>
      </c>
      <c r="AD11" s="569" t="s">
        <v>115</v>
      </c>
      <c r="AE11" s="576"/>
      <c r="AF11" s="649" t="s">
        <v>112</v>
      </c>
      <c r="AG11" s="572">
        <v>9</v>
      </c>
      <c r="AH11" s="573" t="s">
        <v>118</v>
      </c>
      <c r="AI11" s="577" t="s">
        <v>192</v>
      </c>
      <c r="AJ11" s="575" t="s">
        <v>112</v>
      </c>
      <c r="AK11" s="568">
        <v>9</v>
      </c>
      <c r="AL11" s="569" t="s">
        <v>116</v>
      </c>
      <c r="AM11" s="576"/>
      <c r="AN11" s="649" t="s">
        <v>112</v>
      </c>
      <c r="AO11" s="568">
        <v>9</v>
      </c>
      <c r="AP11" s="569" t="s">
        <v>117</v>
      </c>
      <c r="AQ11" s="576"/>
      <c r="AR11" s="571" t="s">
        <v>112</v>
      </c>
      <c r="AS11" s="572">
        <v>9</v>
      </c>
      <c r="AT11" s="573" t="s">
        <v>118</v>
      </c>
      <c r="AU11" s="577"/>
      <c r="AV11" s="580" t="s">
        <v>112</v>
      </c>
    </row>
    <row r="12" spans="1:48">
      <c r="A12" s="568">
        <v>10</v>
      </c>
      <c r="B12" s="569" t="s">
        <v>111</v>
      </c>
      <c r="C12" s="578"/>
      <c r="D12" s="677" t="s">
        <v>112</v>
      </c>
      <c r="E12" s="572">
        <v>10</v>
      </c>
      <c r="F12" s="573" t="s">
        <v>113</v>
      </c>
      <c r="G12" s="577"/>
      <c r="H12" s="575" t="s">
        <v>112</v>
      </c>
      <c r="I12" s="568">
        <v>10</v>
      </c>
      <c r="J12" s="569" t="s">
        <v>114</v>
      </c>
      <c r="K12" s="576"/>
      <c r="L12" s="649">
        <v>41.285714285714285</v>
      </c>
      <c r="M12" s="568">
        <v>10</v>
      </c>
      <c r="N12" s="569" t="s">
        <v>115</v>
      </c>
      <c r="O12" s="576"/>
      <c r="P12" s="571" t="s">
        <v>112</v>
      </c>
      <c r="Q12" s="572">
        <v>10</v>
      </c>
      <c r="R12" s="573" t="s">
        <v>113</v>
      </c>
      <c r="S12" s="577"/>
      <c r="T12" s="580" t="s">
        <v>112</v>
      </c>
      <c r="U12" s="568">
        <v>10</v>
      </c>
      <c r="V12" s="569" t="s">
        <v>116</v>
      </c>
      <c r="W12" s="576"/>
      <c r="X12" s="649" t="s">
        <v>112</v>
      </c>
      <c r="Y12" s="568">
        <v>10</v>
      </c>
      <c r="Z12" s="569" t="s">
        <v>117</v>
      </c>
      <c r="AA12" s="576"/>
      <c r="AB12" s="571" t="s">
        <v>112</v>
      </c>
      <c r="AC12" s="568">
        <v>10</v>
      </c>
      <c r="AD12" s="569" t="s">
        <v>117</v>
      </c>
      <c r="AE12" s="576"/>
      <c r="AF12" s="649" t="s">
        <v>112</v>
      </c>
      <c r="AG12" s="568">
        <v>10</v>
      </c>
      <c r="AH12" s="569" t="s">
        <v>114</v>
      </c>
      <c r="AI12" s="576" t="s">
        <v>267</v>
      </c>
      <c r="AJ12" s="571">
        <v>15.142857142857142</v>
      </c>
      <c r="AK12" s="568">
        <v>10</v>
      </c>
      <c r="AL12" s="569" t="s">
        <v>111</v>
      </c>
      <c r="AM12" s="576"/>
      <c r="AN12" s="649" t="s">
        <v>112</v>
      </c>
      <c r="AO12" s="572">
        <v>10</v>
      </c>
      <c r="AP12" s="573" t="s">
        <v>113</v>
      </c>
      <c r="AQ12" s="577"/>
      <c r="AR12" s="575" t="s">
        <v>112</v>
      </c>
      <c r="AS12" s="568">
        <v>10</v>
      </c>
      <c r="AT12" s="569" t="s">
        <v>114</v>
      </c>
      <c r="AU12" s="576"/>
      <c r="AV12" s="649">
        <v>28.142857142857142</v>
      </c>
    </row>
    <row r="13" spans="1:48">
      <c r="A13" s="568">
        <v>11</v>
      </c>
      <c r="B13" s="569" t="s">
        <v>115</v>
      </c>
      <c r="C13" s="578"/>
      <c r="D13" s="677" t="s">
        <v>112</v>
      </c>
      <c r="E13" s="572">
        <v>11</v>
      </c>
      <c r="F13" s="573" t="s">
        <v>118</v>
      </c>
      <c r="G13" s="577"/>
      <c r="H13" s="575" t="s">
        <v>112</v>
      </c>
      <c r="I13" s="568">
        <v>11</v>
      </c>
      <c r="J13" s="569" t="s">
        <v>116</v>
      </c>
      <c r="K13" s="576"/>
      <c r="L13" s="649" t="s">
        <v>112</v>
      </c>
      <c r="M13" s="568">
        <v>11</v>
      </c>
      <c r="N13" s="569" t="s">
        <v>117</v>
      </c>
      <c r="O13" s="576"/>
      <c r="P13" s="571" t="s">
        <v>112</v>
      </c>
      <c r="Q13" s="572">
        <v>11</v>
      </c>
      <c r="R13" s="573" t="s">
        <v>118</v>
      </c>
      <c r="S13" s="577"/>
      <c r="T13" s="580" t="s">
        <v>112</v>
      </c>
      <c r="U13" s="568">
        <v>11</v>
      </c>
      <c r="V13" s="569" t="s">
        <v>111</v>
      </c>
      <c r="W13" s="576"/>
      <c r="X13" s="649" t="s">
        <v>112</v>
      </c>
      <c r="Y13" s="572">
        <v>11</v>
      </c>
      <c r="Z13" s="573" t="s">
        <v>113</v>
      </c>
      <c r="AA13" s="577"/>
      <c r="AB13" s="575" t="s">
        <v>112</v>
      </c>
      <c r="AC13" s="572">
        <v>11</v>
      </c>
      <c r="AD13" s="573" t="s">
        <v>113</v>
      </c>
      <c r="AE13" s="577"/>
      <c r="AF13" s="580" t="s">
        <v>112</v>
      </c>
      <c r="AG13" s="568">
        <v>11</v>
      </c>
      <c r="AH13" s="569" t="s">
        <v>116</v>
      </c>
      <c r="AI13" s="576"/>
      <c r="AJ13" s="571" t="s">
        <v>112</v>
      </c>
      <c r="AK13" s="568">
        <v>11</v>
      </c>
      <c r="AL13" s="569" t="s">
        <v>115</v>
      </c>
      <c r="AM13" s="576"/>
      <c r="AN13" s="649" t="s">
        <v>112</v>
      </c>
      <c r="AO13" s="572">
        <v>11</v>
      </c>
      <c r="AP13" s="573" t="s">
        <v>118</v>
      </c>
      <c r="AQ13" s="577"/>
      <c r="AR13" s="575" t="s">
        <v>112</v>
      </c>
      <c r="AS13" s="568">
        <v>11</v>
      </c>
      <c r="AT13" s="569" t="s">
        <v>116</v>
      </c>
      <c r="AU13" s="576"/>
      <c r="AV13" s="649" t="s">
        <v>112</v>
      </c>
    </row>
    <row r="14" spans="1:48">
      <c r="A14" s="568">
        <v>12</v>
      </c>
      <c r="B14" s="569" t="s">
        <v>117</v>
      </c>
      <c r="C14" s="578"/>
      <c r="D14" s="678" t="s">
        <v>112</v>
      </c>
      <c r="E14" s="568">
        <v>12</v>
      </c>
      <c r="F14" s="569" t="s">
        <v>114</v>
      </c>
      <c r="G14" s="576"/>
      <c r="H14" s="571">
        <v>37.285714285714285</v>
      </c>
      <c r="I14" s="568">
        <v>12</v>
      </c>
      <c r="J14" s="569" t="s">
        <v>111</v>
      </c>
      <c r="K14" s="576"/>
      <c r="L14" s="649" t="s">
        <v>112</v>
      </c>
      <c r="M14" s="572">
        <v>12</v>
      </c>
      <c r="N14" s="573" t="s">
        <v>113</v>
      </c>
      <c r="O14" s="577"/>
      <c r="P14" s="575" t="s">
        <v>112</v>
      </c>
      <c r="Q14" s="568">
        <v>12</v>
      </c>
      <c r="R14" s="569" t="s">
        <v>114</v>
      </c>
      <c r="S14" s="576"/>
      <c r="T14" s="649">
        <v>50.285714285714285</v>
      </c>
      <c r="U14" s="568">
        <v>12</v>
      </c>
      <c r="V14" s="569" t="s">
        <v>115</v>
      </c>
      <c r="W14" s="576"/>
      <c r="X14" s="649" t="s">
        <v>112</v>
      </c>
      <c r="Y14" s="572">
        <v>12</v>
      </c>
      <c r="Z14" s="573" t="s">
        <v>118</v>
      </c>
      <c r="AA14" s="577"/>
      <c r="AB14" s="575" t="s">
        <v>112</v>
      </c>
      <c r="AC14" s="572">
        <v>12</v>
      </c>
      <c r="AD14" s="573" t="s">
        <v>118</v>
      </c>
      <c r="AE14" s="577"/>
      <c r="AF14" s="580" t="s">
        <v>112</v>
      </c>
      <c r="AG14" s="568">
        <v>12</v>
      </c>
      <c r="AH14" s="569" t="s">
        <v>111</v>
      </c>
      <c r="AI14" s="576"/>
      <c r="AJ14" s="571" t="s">
        <v>112</v>
      </c>
      <c r="AK14" s="568">
        <v>12</v>
      </c>
      <c r="AL14" s="569" t="s">
        <v>117</v>
      </c>
      <c r="AM14" s="576"/>
      <c r="AN14" s="649" t="s">
        <v>112</v>
      </c>
      <c r="AO14" s="568">
        <v>12</v>
      </c>
      <c r="AP14" s="569" t="s">
        <v>114</v>
      </c>
      <c r="AQ14" s="576"/>
      <c r="AR14" s="571">
        <v>24.142857142857142</v>
      </c>
      <c r="AS14" s="568">
        <v>12</v>
      </c>
      <c r="AT14" s="569" t="s">
        <v>111</v>
      </c>
      <c r="AU14" s="576"/>
      <c r="AV14" s="649" t="s">
        <v>112</v>
      </c>
    </row>
    <row r="15" spans="1:48">
      <c r="A15" s="572">
        <v>13</v>
      </c>
      <c r="B15" s="573" t="s">
        <v>113</v>
      </c>
      <c r="C15" s="579"/>
      <c r="D15" s="679" t="s">
        <v>112</v>
      </c>
      <c r="E15" s="568">
        <v>13</v>
      </c>
      <c r="F15" s="569" t="s">
        <v>116</v>
      </c>
      <c r="G15" s="576"/>
      <c r="H15" s="571" t="s">
        <v>112</v>
      </c>
      <c r="I15" s="568">
        <v>13</v>
      </c>
      <c r="J15" s="569" t="s">
        <v>115</v>
      </c>
      <c r="K15" s="576"/>
      <c r="L15" s="649" t="s">
        <v>112</v>
      </c>
      <c r="M15" s="572">
        <v>13</v>
      </c>
      <c r="N15" s="573" t="s">
        <v>118</v>
      </c>
      <c r="O15" s="577"/>
      <c r="P15" s="575" t="s">
        <v>112</v>
      </c>
      <c r="Q15" s="568">
        <v>13</v>
      </c>
      <c r="R15" s="569" t="s">
        <v>116</v>
      </c>
      <c r="S15" s="576"/>
      <c r="T15" s="649" t="s">
        <v>112</v>
      </c>
      <c r="U15" s="568">
        <v>13</v>
      </c>
      <c r="V15" s="569" t="s">
        <v>117</v>
      </c>
      <c r="W15" s="576"/>
      <c r="X15" s="649" t="s">
        <v>112</v>
      </c>
      <c r="Y15" s="568">
        <v>13</v>
      </c>
      <c r="Z15" s="569" t="s">
        <v>114</v>
      </c>
      <c r="AA15" s="576"/>
      <c r="AB15" s="571">
        <v>7.1428571428571432</v>
      </c>
      <c r="AC15" s="568">
        <v>13</v>
      </c>
      <c r="AD15" s="569" t="s">
        <v>114</v>
      </c>
      <c r="AE15" s="576"/>
      <c r="AF15" s="649">
        <v>11.142857142857142</v>
      </c>
      <c r="AG15" s="568">
        <v>13</v>
      </c>
      <c r="AH15" s="569" t="s">
        <v>115</v>
      </c>
      <c r="AI15" s="576"/>
      <c r="AJ15" s="571" t="s">
        <v>112</v>
      </c>
      <c r="AK15" s="572">
        <v>13</v>
      </c>
      <c r="AL15" s="573" t="s">
        <v>113</v>
      </c>
      <c r="AM15" s="577"/>
      <c r="AN15" s="580" t="s">
        <v>112</v>
      </c>
      <c r="AO15" s="568">
        <v>13</v>
      </c>
      <c r="AP15" s="569" t="s">
        <v>116</v>
      </c>
      <c r="AQ15" s="576"/>
      <c r="AR15" s="571" t="s">
        <v>112</v>
      </c>
      <c r="AS15" s="568">
        <v>13</v>
      </c>
      <c r="AT15" s="569" t="s">
        <v>115</v>
      </c>
      <c r="AU15" s="576"/>
      <c r="AV15" s="649" t="s">
        <v>112</v>
      </c>
    </row>
    <row r="16" spans="1:48">
      <c r="A16" s="572">
        <v>14</v>
      </c>
      <c r="B16" s="573" t="s">
        <v>118</v>
      </c>
      <c r="C16" s="579"/>
      <c r="D16" s="679" t="s">
        <v>112</v>
      </c>
      <c r="E16" s="568">
        <v>14</v>
      </c>
      <c r="F16" s="569" t="s">
        <v>111</v>
      </c>
      <c r="G16" s="576"/>
      <c r="H16" s="571" t="s">
        <v>112</v>
      </c>
      <c r="I16" s="568">
        <v>14</v>
      </c>
      <c r="J16" s="569" t="s">
        <v>117</v>
      </c>
      <c r="K16" s="576"/>
      <c r="L16" s="649" t="s">
        <v>112</v>
      </c>
      <c r="M16" s="568">
        <v>14</v>
      </c>
      <c r="N16" s="569" t="s">
        <v>114</v>
      </c>
      <c r="O16" s="576"/>
      <c r="P16" s="571">
        <v>46.285714285714285</v>
      </c>
      <c r="Q16" s="568">
        <v>14</v>
      </c>
      <c r="R16" s="569" t="s">
        <v>111</v>
      </c>
      <c r="S16" s="576"/>
      <c r="T16" s="649" t="s">
        <v>112</v>
      </c>
      <c r="U16" s="572">
        <v>14</v>
      </c>
      <c r="V16" s="573" t="s">
        <v>113</v>
      </c>
      <c r="W16" s="577"/>
      <c r="X16" s="580" t="s">
        <v>112</v>
      </c>
      <c r="Y16" s="568">
        <v>14</v>
      </c>
      <c r="Z16" s="569" t="s">
        <v>116</v>
      </c>
      <c r="AA16" s="576"/>
      <c r="AB16" s="571" t="s">
        <v>112</v>
      </c>
      <c r="AC16" s="568">
        <v>14</v>
      </c>
      <c r="AD16" s="569" t="s">
        <v>116</v>
      </c>
      <c r="AE16" s="576"/>
      <c r="AF16" s="649" t="s">
        <v>112</v>
      </c>
      <c r="AG16" s="568">
        <v>14</v>
      </c>
      <c r="AH16" s="569" t="s">
        <v>117</v>
      </c>
      <c r="AI16" s="576"/>
      <c r="AJ16" s="571" t="s">
        <v>112</v>
      </c>
      <c r="AK16" s="572">
        <v>14</v>
      </c>
      <c r="AL16" s="573" t="s">
        <v>118</v>
      </c>
      <c r="AM16" s="577"/>
      <c r="AN16" s="580" t="s">
        <v>112</v>
      </c>
      <c r="AO16" s="568">
        <v>14</v>
      </c>
      <c r="AP16" s="569" t="s">
        <v>111</v>
      </c>
      <c r="AQ16" s="576"/>
      <c r="AR16" s="571" t="s">
        <v>112</v>
      </c>
      <c r="AS16" s="568">
        <v>14</v>
      </c>
      <c r="AT16" s="569" t="s">
        <v>117</v>
      </c>
      <c r="AU16" s="576"/>
      <c r="AV16" s="649" t="s">
        <v>112</v>
      </c>
    </row>
    <row r="17" spans="1:48">
      <c r="A17" s="568">
        <v>15</v>
      </c>
      <c r="B17" s="569" t="s">
        <v>114</v>
      </c>
      <c r="C17" s="578"/>
      <c r="D17" s="677">
        <v>33.285714285714285</v>
      </c>
      <c r="E17" s="568">
        <v>15</v>
      </c>
      <c r="F17" s="569" t="s">
        <v>115</v>
      </c>
      <c r="G17" s="576"/>
      <c r="H17" s="571" t="s">
        <v>112</v>
      </c>
      <c r="I17" s="572">
        <v>15</v>
      </c>
      <c r="J17" s="573" t="s">
        <v>113</v>
      </c>
      <c r="K17" s="577"/>
      <c r="L17" s="580" t="s">
        <v>112</v>
      </c>
      <c r="M17" s="568">
        <v>15</v>
      </c>
      <c r="N17" s="569" t="s">
        <v>116</v>
      </c>
      <c r="O17" s="576"/>
      <c r="P17" s="571" t="s">
        <v>112</v>
      </c>
      <c r="Q17" s="568">
        <v>15</v>
      </c>
      <c r="R17" s="569" t="s">
        <v>115</v>
      </c>
      <c r="S17" s="576"/>
      <c r="T17" s="649" t="s">
        <v>112</v>
      </c>
      <c r="U17" s="572">
        <v>15</v>
      </c>
      <c r="V17" s="573" t="s">
        <v>118</v>
      </c>
      <c r="W17" s="577"/>
      <c r="X17" s="580" t="s">
        <v>112</v>
      </c>
      <c r="Y17" s="568">
        <v>15</v>
      </c>
      <c r="Z17" s="569" t="s">
        <v>111</v>
      </c>
      <c r="AA17" s="576"/>
      <c r="AB17" s="571" t="s">
        <v>112</v>
      </c>
      <c r="AC17" s="568">
        <v>15</v>
      </c>
      <c r="AD17" s="569" t="s">
        <v>111</v>
      </c>
      <c r="AE17" s="576"/>
      <c r="AF17" s="649" t="s">
        <v>112</v>
      </c>
      <c r="AG17" s="572">
        <v>15</v>
      </c>
      <c r="AH17" s="573" t="s">
        <v>113</v>
      </c>
      <c r="AI17" s="577"/>
      <c r="AJ17" s="575" t="s">
        <v>112</v>
      </c>
      <c r="AK17" s="568">
        <v>15</v>
      </c>
      <c r="AL17" s="569" t="s">
        <v>114</v>
      </c>
      <c r="AM17" s="576"/>
      <c r="AN17" s="649">
        <v>20.142857142857142</v>
      </c>
      <c r="AO17" s="568">
        <v>15</v>
      </c>
      <c r="AP17" s="569" t="s">
        <v>115</v>
      </c>
      <c r="AQ17" s="576"/>
      <c r="AR17" s="571" t="s">
        <v>112</v>
      </c>
      <c r="AS17" s="572">
        <v>15</v>
      </c>
      <c r="AT17" s="573" t="s">
        <v>113</v>
      </c>
      <c r="AU17" s="577"/>
      <c r="AV17" s="580" t="s">
        <v>112</v>
      </c>
    </row>
    <row r="18" spans="1:48">
      <c r="A18" s="568">
        <v>16</v>
      </c>
      <c r="B18" s="569" t="s">
        <v>116</v>
      </c>
      <c r="C18" s="578"/>
      <c r="D18" s="677" t="s">
        <v>112</v>
      </c>
      <c r="E18" s="568">
        <v>16</v>
      </c>
      <c r="F18" s="569" t="s">
        <v>117</v>
      </c>
      <c r="G18" s="576"/>
      <c r="H18" s="571" t="s">
        <v>112</v>
      </c>
      <c r="I18" s="572">
        <v>16</v>
      </c>
      <c r="J18" s="573" t="s">
        <v>118</v>
      </c>
      <c r="K18" s="577"/>
      <c r="L18" s="580" t="s">
        <v>112</v>
      </c>
      <c r="M18" s="568">
        <v>16</v>
      </c>
      <c r="N18" s="569" t="s">
        <v>111</v>
      </c>
      <c r="O18" s="576"/>
      <c r="P18" s="571" t="s">
        <v>112</v>
      </c>
      <c r="Q18" s="568">
        <v>16</v>
      </c>
      <c r="R18" s="569" t="s">
        <v>117</v>
      </c>
      <c r="S18" s="576"/>
      <c r="T18" s="649" t="s">
        <v>112</v>
      </c>
      <c r="U18" s="568">
        <v>16</v>
      </c>
      <c r="V18" s="569" t="s">
        <v>114</v>
      </c>
      <c r="W18" s="576"/>
      <c r="X18" s="649">
        <v>3.1428571428571428</v>
      </c>
      <c r="Y18" s="568">
        <v>16</v>
      </c>
      <c r="Z18" s="569" t="s">
        <v>115</v>
      </c>
      <c r="AA18" s="576"/>
      <c r="AB18" s="571" t="s">
        <v>112</v>
      </c>
      <c r="AC18" s="568">
        <v>16</v>
      </c>
      <c r="AD18" s="569" t="s">
        <v>115</v>
      </c>
      <c r="AE18" s="576"/>
      <c r="AF18" s="649" t="s">
        <v>112</v>
      </c>
      <c r="AG18" s="572">
        <v>16</v>
      </c>
      <c r="AH18" s="573" t="s">
        <v>118</v>
      </c>
      <c r="AI18" s="577"/>
      <c r="AJ18" s="575" t="s">
        <v>112</v>
      </c>
      <c r="AK18" s="568">
        <v>16</v>
      </c>
      <c r="AL18" s="569" t="s">
        <v>116</v>
      </c>
      <c r="AM18" s="576"/>
      <c r="AN18" s="649" t="s">
        <v>112</v>
      </c>
      <c r="AO18" s="568">
        <v>16</v>
      </c>
      <c r="AP18" s="569" t="s">
        <v>117</v>
      </c>
      <c r="AQ18" s="576"/>
      <c r="AR18" s="571" t="s">
        <v>112</v>
      </c>
      <c r="AS18" s="572">
        <v>16</v>
      </c>
      <c r="AT18" s="573" t="s">
        <v>118</v>
      </c>
      <c r="AU18" s="577"/>
      <c r="AV18" s="580" t="s">
        <v>112</v>
      </c>
    </row>
    <row r="19" spans="1:48">
      <c r="A19" s="568">
        <v>17</v>
      </c>
      <c r="B19" s="569" t="s">
        <v>111</v>
      </c>
      <c r="C19" s="578"/>
      <c r="D19" s="677" t="s">
        <v>112</v>
      </c>
      <c r="E19" s="572">
        <v>17</v>
      </c>
      <c r="F19" s="573" t="s">
        <v>113</v>
      </c>
      <c r="G19" s="577"/>
      <c r="H19" s="575" t="s">
        <v>112</v>
      </c>
      <c r="I19" s="568">
        <v>17</v>
      </c>
      <c r="J19" s="569" t="s">
        <v>114</v>
      </c>
      <c r="K19" s="576"/>
      <c r="L19" s="649">
        <v>42.285714285714285</v>
      </c>
      <c r="M19" s="568">
        <v>17</v>
      </c>
      <c r="N19" s="569" t="s">
        <v>115</v>
      </c>
      <c r="O19" s="576"/>
      <c r="P19" s="571" t="s">
        <v>112</v>
      </c>
      <c r="Q19" s="572">
        <v>17</v>
      </c>
      <c r="R19" s="573" t="s">
        <v>113</v>
      </c>
      <c r="S19" s="577"/>
      <c r="T19" s="580" t="s">
        <v>112</v>
      </c>
      <c r="U19" s="568">
        <v>17</v>
      </c>
      <c r="V19" s="569" t="s">
        <v>116</v>
      </c>
      <c r="W19" s="576"/>
      <c r="X19" s="649" t="s">
        <v>112</v>
      </c>
      <c r="Y19" s="568">
        <v>17</v>
      </c>
      <c r="Z19" s="569" t="s">
        <v>117</v>
      </c>
      <c r="AA19" s="576"/>
      <c r="AB19" s="571" t="s">
        <v>112</v>
      </c>
      <c r="AC19" s="568">
        <v>17</v>
      </c>
      <c r="AD19" s="569" t="s">
        <v>117</v>
      </c>
      <c r="AE19" s="576"/>
      <c r="AF19" s="649" t="s">
        <v>112</v>
      </c>
      <c r="AG19" s="568">
        <v>17</v>
      </c>
      <c r="AH19" s="569" t="s">
        <v>114</v>
      </c>
      <c r="AI19" s="576"/>
      <c r="AJ19" s="571">
        <v>16.142857142857142</v>
      </c>
      <c r="AK19" s="568">
        <v>17</v>
      </c>
      <c r="AL19" s="569" t="s">
        <v>111</v>
      </c>
      <c r="AM19" s="576"/>
      <c r="AN19" s="649" t="s">
        <v>112</v>
      </c>
      <c r="AO19" s="572">
        <v>17</v>
      </c>
      <c r="AP19" s="573" t="s">
        <v>113</v>
      </c>
      <c r="AQ19" s="577"/>
      <c r="AR19" s="575" t="s">
        <v>112</v>
      </c>
      <c r="AS19" s="568">
        <v>17</v>
      </c>
      <c r="AT19" s="569" t="s">
        <v>114</v>
      </c>
      <c r="AU19" s="576"/>
      <c r="AV19" s="649">
        <v>29.142857142857142</v>
      </c>
    </row>
    <row r="20" spans="1:48">
      <c r="A20" s="568">
        <v>18</v>
      </c>
      <c r="B20" s="569" t="s">
        <v>115</v>
      </c>
      <c r="C20" s="578"/>
      <c r="D20" s="677" t="s">
        <v>112</v>
      </c>
      <c r="E20" s="572">
        <v>18</v>
      </c>
      <c r="F20" s="573" t="s">
        <v>118</v>
      </c>
      <c r="G20" s="577"/>
      <c r="H20" s="575" t="s">
        <v>112</v>
      </c>
      <c r="I20" s="568">
        <v>18</v>
      </c>
      <c r="J20" s="569" t="s">
        <v>116</v>
      </c>
      <c r="K20" s="576"/>
      <c r="L20" s="649" t="s">
        <v>112</v>
      </c>
      <c r="M20" s="568">
        <v>18</v>
      </c>
      <c r="N20" s="569" t="s">
        <v>117</v>
      </c>
      <c r="O20" s="576"/>
      <c r="P20" s="571" t="s">
        <v>112</v>
      </c>
      <c r="Q20" s="572">
        <v>18</v>
      </c>
      <c r="R20" s="573" t="s">
        <v>118</v>
      </c>
      <c r="S20" s="577"/>
      <c r="T20" s="580" t="s">
        <v>112</v>
      </c>
      <c r="U20" s="568">
        <v>18</v>
      </c>
      <c r="V20" s="569" t="s">
        <v>111</v>
      </c>
      <c r="W20" s="576"/>
      <c r="X20" s="649" t="s">
        <v>112</v>
      </c>
      <c r="Y20" s="572">
        <v>18</v>
      </c>
      <c r="Z20" s="573" t="s">
        <v>113</v>
      </c>
      <c r="AA20" s="577"/>
      <c r="AB20" s="575" t="s">
        <v>112</v>
      </c>
      <c r="AC20" s="572">
        <v>18</v>
      </c>
      <c r="AD20" s="573" t="s">
        <v>113</v>
      </c>
      <c r="AE20" s="577"/>
      <c r="AF20" s="580" t="s">
        <v>112</v>
      </c>
      <c r="AG20" s="568">
        <v>18</v>
      </c>
      <c r="AH20" s="569" t="s">
        <v>116</v>
      </c>
      <c r="AI20" s="576"/>
      <c r="AJ20" s="571" t="s">
        <v>112</v>
      </c>
      <c r="AK20" s="568">
        <v>18</v>
      </c>
      <c r="AL20" s="569" t="s">
        <v>115</v>
      </c>
      <c r="AM20" s="996" t="s">
        <v>268</v>
      </c>
      <c r="AN20" s="997"/>
      <c r="AO20" s="572">
        <v>18</v>
      </c>
      <c r="AP20" s="573" t="s">
        <v>118</v>
      </c>
      <c r="AQ20" s="577"/>
      <c r="AR20" s="575" t="s">
        <v>112</v>
      </c>
      <c r="AS20" s="568">
        <v>18</v>
      </c>
      <c r="AT20" s="569" t="s">
        <v>116</v>
      </c>
      <c r="AU20" s="576"/>
      <c r="AV20" s="649" t="s">
        <v>112</v>
      </c>
    </row>
    <row r="21" spans="1:48">
      <c r="A21" s="568">
        <v>19</v>
      </c>
      <c r="B21" s="569" t="s">
        <v>117</v>
      </c>
      <c r="C21" s="578"/>
      <c r="D21" s="678" t="s">
        <v>112</v>
      </c>
      <c r="E21" s="568">
        <v>19</v>
      </c>
      <c r="F21" s="569" t="s">
        <v>114</v>
      </c>
      <c r="G21" s="576"/>
      <c r="H21" s="571">
        <v>38.285714285714285</v>
      </c>
      <c r="I21" s="568">
        <v>19</v>
      </c>
      <c r="J21" s="569" t="s">
        <v>111</v>
      </c>
      <c r="K21" s="576"/>
      <c r="L21" s="649" t="s">
        <v>112</v>
      </c>
      <c r="M21" s="572">
        <v>19</v>
      </c>
      <c r="N21" s="573" t="s">
        <v>113</v>
      </c>
      <c r="O21" s="577"/>
      <c r="P21" s="575" t="s">
        <v>112</v>
      </c>
      <c r="Q21" s="568">
        <v>19</v>
      </c>
      <c r="R21" s="569" t="s">
        <v>114</v>
      </c>
      <c r="S21" s="576"/>
      <c r="T21" s="649">
        <v>51.285714285714285</v>
      </c>
      <c r="U21" s="568">
        <v>19</v>
      </c>
      <c r="V21" s="569" t="s">
        <v>115</v>
      </c>
      <c r="W21" s="576"/>
      <c r="X21" s="649" t="s">
        <v>112</v>
      </c>
      <c r="Y21" s="572">
        <v>19</v>
      </c>
      <c r="Z21" s="573" t="s">
        <v>118</v>
      </c>
      <c r="AA21" s="577"/>
      <c r="AB21" s="575" t="s">
        <v>112</v>
      </c>
      <c r="AC21" s="572">
        <v>19</v>
      </c>
      <c r="AD21" s="573" t="s">
        <v>118</v>
      </c>
      <c r="AE21" s="577"/>
      <c r="AF21" s="580" t="s">
        <v>112</v>
      </c>
      <c r="AG21" s="568">
        <v>19</v>
      </c>
      <c r="AH21" s="569" t="s">
        <v>111</v>
      </c>
      <c r="AI21" s="576"/>
      <c r="AJ21" s="571" t="s">
        <v>112</v>
      </c>
      <c r="AK21" s="568">
        <v>19</v>
      </c>
      <c r="AL21" s="569" t="s">
        <v>117</v>
      </c>
      <c r="AM21" s="576"/>
      <c r="AN21" s="649" t="s">
        <v>112</v>
      </c>
      <c r="AO21" s="568">
        <v>19</v>
      </c>
      <c r="AP21" s="569" t="s">
        <v>114</v>
      </c>
      <c r="AQ21" s="576"/>
      <c r="AR21" s="571">
        <v>25.142857142857142</v>
      </c>
      <c r="AS21" s="568">
        <v>19</v>
      </c>
      <c r="AT21" s="569" t="s">
        <v>111</v>
      </c>
      <c r="AU21" s="576"/>
      <c r="AV21" s="649" t="s">
        <v>112</v>
      </c>
    </row>
    <row r="22" spans="1:48">
      <c r="A22" s="572">
        <v>20</v>
      </c>
      <c r="B22" s="573" t="s">
        <v>113</v>
      </c>
      <c r="C22" s="579"/>
      <c r="D22" s="679" t="s">
        <v>112</v>
      </c>
      <c r="E22" s="568">
        <v>20</v>
      </c>
      <c r="F22" s="569" t="s">
        <v>116</v>
      </c>
      <c r="G22" s="576"/>
      <c r="H22" s="571" t="s">
        <v>112</v>
      </c>
      <c r="I22" s="568">
        <v>20</v>
      </c>
      <c r="J22" s="569" t="s">
        <v>115</v>
      </c>
      <c r="K22" s="576"/>
      <c r="L22" s="649" t="s">
        <v>112</v>
      </c>
      <c r="M22" s="572">
        <v>20</v>
      </c>
      <c r="N22" s="573" t="s">
        <v>118</v>
      </c>
      <c r="O22" s="577"/>
      <c r="P22" s="575" t="s">
        <v>112</v>
      </c>
      <c r="Q22" s="568">
        <v>20</v>
      </c>
      <c r="R22" s="569" t="s">
        <v>116</v>
      </c>
      <c r="S22" s="576"/>
      <c r="T22" s="649" t="s">
        <v>112</v>
      </c>
      <c r="U22" s="568">
        <v>20</v>
      </c>
      <c r="V22" s="569" t="s">
        <v>117</v>
      </c>
      <c r="W22" s="576"/>
      <c r="X22" s="649" t="s">
        <v>112</v>
      </c>
      <c r="Y22" s="568">
        <v>20</v>
      </c>
      <c r="Z22" s="569" t="s">
        <v>114</v>
      </c>
      <c r="AA22" s="576"/>
      <c r="AB22" s="571">
        <v>8.1428571428571423</v>
      </c>
      <c r="AC22" s="568">
        <v>20</v>
      </c>
      <c r="AD22" s="569" t="s">
        <v>114</v>
      </c>
      <c r="AE22" s="576"/>
      <c r="AF22" s="649">
        <v>12.142857142857142</v>
      </c>
      <c r="AG22" s="568">
        <v>20</v>
      </c>
      <c r="AH22" s="569" t="s">
        <v>115</v>
      </c>
      <c r="AI22" s="576"/>
      <c r="AJ22" s="571" t="s">
        <v>112</v>
      </c>
      <c r="AK22" s="572">
        <v>20</v>
      </c>
      <c r="AL22" s="573" t="s">
        <v>113</v>
      </c>
      <c r="AM22" s="577"/>
      <c r="AN22" s="580" t="s">
        <v>112</v>
      </c>
      <c r="AO22" s="568">
        <v>20</v>
      </c>
      <c r="AP22" s="569" t="s">
        <v>116</v>
      </c>
      <c r="AQ22" s="576"/>
      <c r="AR22" s="571" t="s">
        <v>112</v>
      </c>
      <c r="AS22" s="568">
        <v>20</v>
      </c>
      <c r="AT22" s="569" t="s">
        <v>115</v>
      </c>
      <c r="AU22" s="576"/>
      <c r="AV22" s="649" t="s">
        <v>112</v>
      </c>
    </row>
    <row r="23" spans="1:48">
      <c r="A23" s="572">
        <v>21</v>
      </c>
      <c r="B23" s="573" t="s">
        <v>118</v>
      </c>
      <c r="C23" s="579"/>
      <c r="D23" s="679" t="s">
        <v>112</v>
      </c>
      <c r="E23" s="568">
        <v>21</v>
      </c>
      <c r="F23" s="569" t="s">
        <v>111</v>
      </c>
      <c r="G23" s="576"/>
      <c r="H23" s="571" t="s">
        <v>112</v>
      </c>
      <c r="I23" s="568">
        <v>21</v>
      </c>
      <c r="J23" s="569" t="s">
        <v>117</v>
      </c>
      <c r="K23" s="576"/>
      <c r="L23" s="649" t="s">
        <v>112</v>
      </c>
      <c r="M23" s="568">
        <v>21</v>
      </c>
      <c r="N23" s="569" t="s">
        <v>114</v>
      </c>
      <c r="O23" s="576"/>
      <c r="P23" s="571">
        <v>47.285714285714285</v>
      </c>
      <c r="Q23" s="568">
        <v>21</v>
      </c>
      <c r="R23" s="569" t="s">
        <v>111</v>
      </c>
      <c r="S23" s="576"/>
      <c r="T23" s="649" t="s">
        <v>112</v>
      </c>
      <c r="U23" s="572">
        <v>21</v>
      </c>
      <c r="V23" s="573" t="s">
        <v>113</v>
      </c>
      <c r="W23" s="577"/>
      <c r="X23" s="580" t="s">
        <v>112</v>
      </c>
      <c r="Y23" s="568">
        <v>21</v>
      </c>
      <c r="Z23" s="569" t="s">
        <v>116</v>
      </c>
      <c r="AA23" s="576"/>
      <c r="AB23" s="571" t="s">
        <v>112</v>
      </c>
      <c r="AC23" s="568">
        <v>21</v>
      </c>
      <c r="AD23" s="569" t="s">
        <v>116</v>
      </c>
      <c r="AE23" s="576"/>
      <c r="AF23" s="649" t="s">
        <v>112</v>
      </c>
      <c r="AG23" s="568">
        <v>21</v>
      </c>
      <c r="AH23" s="569" t="s">
        <v>117</v>
      </c>
      <c r="AI23" s="576"/>
      <c r="AJ23" s="571" t="s">
        <v>112</v>
      </c>
      <c r="AK23" s="572">
        <v>21</v>
      </c>
      <c r="AL23" s="573" t="s">
        <v>118</v>
      </c>
      <c r="AM23" s="577"/>
      <c r="AN23" s="580" t="s">
        <v>112</v>
      </c>
      <c r="AO23" s="568">
        <v>21</v>
      </c>
      <c r="AP23" s="569" t="s">
        <v>111</v>
      </c>
      <c r="AQ23" s="576"/>
      <c r="AR23" s="571" t="s">
        <v>112</v>
      </c>
      <c r="AS23" s="568">
        <v>21</v>
      </c>
      <c r="AT23" s="569" t="s">
        <v>117</v>
      </c>
      <c r="AU23" s="576"/>
      <c r="AV23" s="649" t="s">
        <v>112</v>
      </c>
    </row>
    <row r="24" spans="1:48">
      <c r="A24" s="568">
        <v>22</v>
      </c>
      <c r="B24" s="569" t="s">
        <v>114</v>
      </c>
      <c r="C24" s="578"/>
      <c r="D24" s="678">
        <v>34.285714285714285</v>
      </c>
      <c r="E24" s="568">
        <v>22</v>
      </c>
      <c r="F24" s="569" t="s">
        <v>115</v>
      </c>
      <c r="G24" s="576"/>
      <c r="H24" s="571" t="s">
        <v>112</v>
      </c>
      <c r="I24" s="572">
        <v>22</v>
      </c>
      <c r="J24" s="573" t="s">
        <v>113</v>
      </c>
      <c r="K24" s="577"/>
      <c r="L24" s="580" t="s">
        <v>112</v>
      </c>
      <c r="M24" s="568">
        <v>22</v>
      </c>
      <c r="N24" s="569" t="s">
        <v>116</v>
      </c>
      <c r="O24" s="576"/>
      <c r="P24" s="571" t="s">
        <v>112</v>
      </c>
      <c r="Q24" s="568">
        <v>22</v>
      </c>
      <c r="R24" s="569" t="s">
        <v>115</v>
      </c>
      <c r="S24" s="576"/>
      <c r="T24" s="649" t="s">
        <v>112</v>
      </c>
      <c r="U24" s="572">
        <v>22</v>
      </c>
      <c r="V24" s="573" t="s">
        <v>118</v>
      </c>
      <c r="W24" s="577"/>
      <c r="X24" s="580" t="s">
        <v>112</v>
      </c>
      <c r="Y24" s="568">
        <v>22</v>
      </c>
      <c r="Z24" s="569" t="s">
        <v>111</v>
      </c>
      <c r="AA24" s="576"/>
      <c r="AB24" s="571" t="s">
        <v>112</v>
      </c>
      <c r="AC24" s="568">
        <v>22</v>
      </c>
      <c r="AD24" s="569" t="s">
        <v>111</v>
      </c>
      <c r="AE24" s="576"/>
      <c r="AF24" s="649" t="s">
        <v>112</v>
      </c>
      <c r="AG24" s="572">
        <v>22</v>
      </c>
      <c r="AH24" s="573" t="s">
        <v>113</v>
      </c>
      <c r="AI24" s="577"/>
      <c r="AJ24" s="575" t="s">
        <v>112</v>
      </c>
      <c r="AK24" s="568">
        <v>22</v>
      </c>
      <c r="AL24" s="569" t="s">
        <v>114</v>
      </c>
      <c r="AM24" s="576"/>
      <c r="AN24" s="649">
        <v>21.142857142857142</v>
      </c>
      <c r="AO24" s="568">
        <v>22</v>
      </c>
      <c r="AP24" s="569" t="s">
        <v>115</v>
      </c>
      <c r="AQ24" s="576"/>
      <c r="AR24" s="571" t="s">
        <v>112</v>
      </c>
      <c r="AS24" s="572">
        <v>22</v>
      </c>
      <c r="AT24" s="573" t="s">
        <v>113</v>
      </c>
      <c r="AU24" s="577"/>
      <c r="AV24" s="580" t="s">
        <v>112</v>
      </c>
    </row>
    <row r="25" spans="1:48">
      <c r="A25" s="568">
        <v>23</v>
      </c>
      <c r="B25" s="569" t="s">
        <v>116</v>
      </c>
      <c r="C25" s="578"/>
      <c r="D25" s="678" t="s">
        <v>112</v>
      </c>
      <c r="E25" s="568">
        <v>23</v>
      </c>
      <c r="F25" s="569" t="s">
        <v>117</v>
      </c>
      <c r="G25" s="576"/>
      <c r="H25" s="571" t="s">
        <v>112</v>
      </c>
      <c r="I25" s="572">
        <v>23</v>
      </c>
      <c r="J25" s="573" t="s">
        <v>118</v>
      </c>
      <c r="K25" s="577"/>
      <c r="L25" s="580" t="s">
        <v>112</v>
      </c>
      <c r="M25" s="568">
        <v>23</v>
      </c>
      <c r="N25" s="569" t="s">
        <v>111</v>
      </c>
      <c r="O25" s="576"/>
      <c r="P25" s="571" t="s">
        <v>112</v>
      </c>
      <c r="Q25" s="568">
        <v>23</v>
      </c>
      <c r="R25" s="569" t="s">
        <v>117</v>
      </c>
      <c r="S25" s="576"/>
      <c r="T25" s="649" t="s">
        <v>112</v>
      </c>
      <c r="U25" s="568">
        <v>23</v>
      </c>
      <c r="V25" s="569" t="s">
        <v>114</v>
      </c>
      <c r="W25" s="576"/>
      <c r="X25" s="649">
        <v>4.1428571428571432</v>
      </c>
      <c r="Y25" s="568">
        <v>23</v>
      </c>
      <c r="Z25" s="569" t="s">
        <v>115</v>
      </c>
      <c r="AA25" s="576"/>
      <c r="AB25" s="571" t="s">
        <v>112</v>
      </c>
      <c r="AC25" s="568">
        <v>23</v>
      </c>
      <c r="AD25" s="569" t="s">
        <v>115</v>
      </c>
      <c r="AE25" s="576"/>
      <c r="AF25" s="649" t="s">
        <v>112</v>
      </c>
      <c r="AG25" s="572">
        <v>23</v>
      </c>
      <c r="AH25" s="573" t="s">
        <v>118</v>
      </c>
      <c r="AI25" s="577"/>
      <c r="AJ25" s="575" t="s">
        <v>112</v>
      </c>
      <c r="AK25" s="568">
        <v>23</v>
      </c>
      <c r="AL25" s="569" t="s">
        <v>116</v>
      </c>
      <c r="AM25" s="576"/>
      <c r="AN25" s="649" t="s">
        <v>112</v>
      </c>
      <c r="AO25" s="568">
        <v>23</v>
      </c>
      <c r="AP25" s="569" t="s">
        <v>117</v>
      </c>
      <c r="AQ25" s="576"/>
      <c r="AR25" s="571" t="s">
        <v>112</v>
      </c>
      <c r="AS25" s="572">
        <v>23</v>
      </c>
      <c r="AT25" s="573" t="s">
        <v>118</v>
      </c>
      <c r="AU25" s="577"/>
      <c r="AV25" s="580" t="s">
        <v>112</v>
      </c>
    </row>
    <row r="26" spans="1:48">
      <c r="A26" s="568">
        <v>24</v>
      </c>
      <c r="B26" s="569" t="s">
        <v>111</v>
      </c>
      <c r="C26" s="578"/>
      <c r="D26" s="678" t="s">
        <v>112</v>
      </c>
      <c r="E26" s="572">
        <v>24</v>
      </c>
      <c r="F26" s="573" t="s">
        <v>113</v>
      </c>
      <c r="G26" s="577"/>
      <c r="H26" s="575" t="s">
        <v>112</v>
      </c>
      <c r="I26" s="568">
        <v>24</v>
      </c>
      <c r="J26" s="569" t="s">
        <v>114</v>
      </c>
      <c r="K26" s="576"/>
      <c r="L26" s="649">
        <v>43.285714285714285</v>
      </c>
      <c r="M26" s="568">
        <v>24</v>
      </c>
      <c r="N26" s="569" t="s">
        <v>115</v>
      </c>
      <c r="O26" s="576"/>
      <c r="P26" s="571" t="s">
        <v>112</v>
      </c>
      <c r="Q26" s="572">
        <v>24</v>
      </c>
      <c r="R26" s="573" t="s">
        <v>113</v>
      </c>
      <c r="S26" s="577" t="s">
        <v>65</v>
      </c>
      <c r="T26" s="580" t="s">
        <v>112</v>
      </c>
      <c r="U26" s="568">
        <v>24</v>
      </c>
      <c r="V26" s="569" t="s">
        <v>116</v>
      </c>
      <c r="W26" s="576"/>
      <c r="X26" s="649" t="s">
        <v>112</v>
      </c>
      <c r="Y26" s="568">
        <v>24</v>
      </c>
      <c r="Z26" s="569" t="s">
        <v>117</v>
      </c>
      <c r="AA26" s="576"/>
      <c r="AB26" s="571" t="s">
        <v>112</v>
      </c>
      <c r="AC26" s="568">
        <v>24</v>
      </c>
      <c r="AD26" s="569" t="s">
        <v>117</v>
      </c>
      <c r="AE26" s="576"/>
      <c r="AF26" s="649" t="s">
        <v>112</v>
      </c>
      <c r="AG26" s="568">
        <v>24</v>
      </c>
      <c r="AH26" s="569" t="s">
        <v>114</v>
      </c>
      <c r="AI26" s="576"/>
      <c r="AJ26" s="571">
        <v>17.142857142857142</v>
      </c>
      <c r="AK26" s="568">
        <v>24</v>
      </c>
      <c r="AL26" s="569" t="s">
        <v>111</v>
      </c>
      <c r="AM26" s="576"/>
      <c r="AN26" s="649" t="s">
        <v>112</v>
      </c>
      <c r="AO26" s="572">
        <v>24</v>
      </c>
      <c r="AP26" s="573" t="s">
        <v>113</v>
      </c>
      <c r="AQ26" s="577"/>
      <c r="AR26" s="575" t="s">
        <v>112</v>
      </c>
      <c r="AS26" s="568">
        <v>24</v>
      </c>
      <c r="AT26" s="569" t="s">
        <v>114</v>
      </c>
      <c r="AU26" s="576"/>
      <c r="AV26" s="649">
        <v>30.142857142857142</v>
      </c>
    </row>
    <row r="27" spans="1:48">
      <c r="A27" s="568">
        <v>25</v>
      </c>
      <c r="B27" s="569" t="s">
        <v>115</v>
      </c>
      <c r="C27" s="578"/>
      <c r="D27" s="678" t="s">
        <v>112</v>
      </c>
      <c r="E27" s="572">
        <v>25</v>
      </c>
      <c r="F27" s="573" t="s">
        <v>118</v>
      </c>
      <c r="G27" s="577"/>
      <c r="H27" s="575" t="s">
        <v>112</v>
      </c>
      <c r="I27" s="568">
        <v>25</v>
      </c>
      <c r="J27" s="569" t="s">
        <v>116</v>
      </c>
      <c r="K27" s="576"/>
      <c r="L27" s="649" t="s">
        <v>112</v>
      </c>
      <c r="M27" s="568">
        <v>25</v>
      </c>
      <c r="N27" s="569" t="s">
        <v>117</v>
      </c>
      <c r="O27" s="576"/>
      <c r="P27" s="571" t="s">
        <v>112</v>
      </c>
      <c r="Q27" s="572">
        <v>25</v>
      </c>
      <c r="R27" s="573" t="s">
        <v>118</v>
      </c>
      <c r="S27" s="577" t="s">
        <v>95</v>
      </c>
      <c r="T27" s="580" t="s">
        <v>112</v>
      </c>
      <c r="U27" s="568">
        <v>25</v>
      </c>
      <c r="V27" s="569" t="s">
        <v>111</v>
      </c>
      <c r="W27" s="576"/>
      <c r="X27" s="649" t="s">
        <v>112</v>
      </c>
      <c r="Y27" s="572">
        <v>25</v>
      </c>
      <c r="Z27" s="573" t="s">
        <v>113</v>
      </c>
      <c r="AA27" s="577"/>
      <c r="AB27" s="575" t="s">
        <v>112</v>
      </c>
      <c r="AC27" s="572">
        <v>25</v>
      </c>
      <c r="AD27" s="573" t="s">
        <v>113</v>
      </c>
      <c r="AE27" s="577"/>
      <c r="AF27" s="580" t="s">
        <v>112</v>
      </c>
      <c r="AG27" s="568">
        <v>25</v>
      </c>
      <c r="AH27" s="569" t="s">
        <v>116</v>
      </c>
      <c r="AI27" s="576"/>
      <c r="AJ27" s="571" t="s">
        <v>112</v>
      </c>
      <c r="AK27" s="568">
        <v>25</v>
      </c>
      <c r="AL27" s="569" t="s">
        <v>115</v>
      </c>
      <c r="AM27" s="576"/>
      <c r="AN27" s="649" t="s">
        <v>112</v>
      </c>
      <c r="AO27" s="572">
        <v>25</v>
      </c>
      <c r="AP27" s="573" t="s">
        <v>118</v>
      </c>
      <c r="AQ27" s="577"/>
      <c r="AR27" s="575" t="s">
        <v>112</v>
      </c>
      <c r="AS27" s="568">
        <v>25</v>
      </c>
      <c r="AT27" s="569" t="s">
        <v>116</v>
      </c>
      <c r="AU27" s="576"/>
      <c r="AV27" s="649" t="s">
        <v>112</v>
      </c>
    </row>
    <row r="28" spans="1:48">
      <c r="A28" s="568">
        <v>26</v>
      </c>
      <c r="B28" s="569" t="s">
        <v>117</v>
      </c>
      <c r="C28" s="578"/>
      <c r="D28" s="678" t="s">
        <v>112</v>
      </c>
      <c r="E28" s="568">
        <v>26</v>
      </c>
      <c r="F28" s="569" t="s">
        <v>114</v>
      </c>
      <c r="G28" s="576"/>
      <c r="H28" s="571">
        <v>39.285714285714285</v>
      </c>
      <c r="I28" s="568">
        <v>26</v>
      </c>
      <c r="J28" s="569" t="s">
        <v>111</v>
      </c>
      <c r="K28" s="576"/>
      <c r="L28" s="649" t="s">
        <v>112</v>
      </c>
      <c r="M28" s="572">
        <v>26</v>
      </c>
      <c r="N28" s="573" t="s">
        <v>113</v>
      </c>
      <c r="O28" s="577"/>
      <c r="P28" s="575" t="s">
        <v>112</v>
      </c>
      <c r="Q28" s="568">
        <v>26</v>
      </c>
      <c r="R28" s="569" t="s">
        <v>114</v>
      </c>
      <c r="S28" s="576" t="s">
        <v>269</v>
      </c>
      <c r="T28" s="649">
        <v>52.285714285714285</v>
      </c>
      <c r="U28" s="568">
        <v>26</v>
      </c>
      <c r="V28" s="569" t="s">
        <v>115</v>
      </c>
      <c r="W28" s="576"/>
      <c r="X28" s="649" t="s">
        <v>112</v>
      </c>
      <c r="Y28" s="572">
        <v>26</v>
      </c>
      <c r="Z28" s="573" t="s">
        <v>118</v>
      </c>
      <c r="AA28" s="577"/>
      <c r="AB28" s="575" t="s">
        <v>112</v>
      </c>
      <c r="AC28" s="572">
        <v>26</v>
      </c>
      <c r="AD28" s="573" t="s">
        <v>118</v>
      </c>
      <c r="AE28" s="577"/>
      <c r="AF28" s="580" t="s">
        <v>112</v>
      </c>
      <c r="AG28" s="568">
        <v>26</v>
      </c>
      <c r="AH28" s="569" t="s">
        <v>111</v>
      </c>
      <c r="AI28" s="576"/>
      <c r="AJ28" s="571" t="s">
        <v>112</v>
      </c>
      <c r="AK28" s="568">
        <v>26</v>
      </c>
      <c r="AL28" s="569" t="s">
        <v>117</v>
      </c>
      <c r="AM28" s="576"/>
      <c r="AN28" s="649" t="s">
        <v>112</v>
      </c>
      <c r="AO28" s="568">
        <v>26</v>
      </c>
      <c r="AP28" s="569" t="s">
        <v>114</v>
      </c>
      <c r="AQ28" s="576"/>
      <c r="AR28" s="571">
        <v>26.142857142857142</v>
      </c>
      <c r="AS28" s="568">
        <v>26</v>
      </c>
      <c r="AT28" s="569" t="s">
        <v>111</v>
      </c>
      <c r="AU28" s="576"/>
      <c r="AV28" s="649" t="s">
        <v>112</v>
      </c>
    </row>
    <row r="29" spans="1:48">
      <c r="A29" s="572">
        <v>27</v>
      </c>
      <c r="B29" s="573" t="s">
        <v>113</v>
      </c>
      <c r="C29" s="579"/>
      <c r="D29" s="679" t="s">
        <v>112</v>
      </c>
      <c r="E29" s="568">
        <v>27</v>
      </c>
      <c r="F29" s="569" t="s">
        <v>116</v>
      </c>
      <c r="G29" s="576"/>
      <c r="H29" s="571" t="s">
        <v>112</v>
      </c>
      <c r="I29" s="568">
        <v>27</v>
      </c>
      <c r="J29" s="569" t="s">
        <v>115</v>
      </c>
      <c r="K29" s="576"/>
      <c r="L29" s="649" t="s">
        <v>112</v>
      </c>
      <c r="M29" s="572">
        <v>27</v>
      </c>
      <c r="N29" s="573" t="s">
        <v>118</v>
      </c>
      <c r="O29" s="577"/>
      <c r="P29" s="575" t="s">
        <v>112</v>
      </c>
      <c r="Q29" s="568">
        <v>27</v>
      </c>
      <c r="R29" s="569" t="s">
        <v>116</v>
      </c>
      <c r="S29" s="576"/>
      <c r="T29" s="649" t="s">
        <v>112</v>
      </c>
      <c r="U29" s="568">
        <v>27</v>
      </c>
      <c r="V29" s="569" t="s">
        <v>117</v>
      </c>
      <c r="W29" s="576"/>
      <c r="X29" s="649" t="s">
        <v>112</v>
      </c>
      <c r="Y29" s="568">
        <v>27</v>
      </c>
      <c r="Z29" s="569" t="s">
        <v>114</v>
      </c>
      <c r="AA29" s="576"/>
      <c r="AB29" s="571">
        <v>9.1428571428571423</v>
      </c>
      <c r="AC29" s="568">
        <v>27</v>
      </c>
      <c r="AD29" s="569" t="s">
        <v>114</v>
      </c>
      <c r="AE29" s="576"/>
      <c r="AF29" s="649">
        <v>13.142857142857142</v>
      </c>
      <c r="AG29" s="568">
        <v>27</v>
      </c>
      <c r="AH29" s="569" t="s">
        <v>115</v>
      </c>
      <c r="AI29" s="576"/>
      <c r="AJ29" s="571" t="s">
        <v>112</v>
      </c>
      <c r="AK29" s="572">
        <v>27</v>
      </c>
      <c r="AL29" s="573" t="s">
        <v>113</v>
      </c>
      <c r="AM29" s="577"/>
      <c r="AN29" s="580" t="s">
        <v>112</v>
      </c>
      <c r="AO29" s="568">
        <v>27</v>
      </c>
      <c r="AP29" s="569" t="s">
        <v>116</v>
      </c>
      <c r="AQ29" s="576"/>
      <c r="AR29" s="571" t="s">
        <v>112</v>
      </c>
      <c r="AS29" s="568">
        <v>27</v>
      </c>
      <c r="AT29" s="569" t="s">
        <v>115</v>
      </c>
      <c r="AU29" s="576"/>
      <c r="AV29" s="649" t="s">
        <v>112</v>
      </c>
    </row>
    <row r="30" spans="1:48">
      <c r="A30" s="572">
        <v>28</v>
      </c>
      <c r="B30" s="573" t="s">
        <v>118</v>
      </c>
      <c r="C30" s="579"/>
      <c r="D30" s="679" t="s">
        <v>112</v>
      </c>
      <c r="E30" s="568">
        <v>28</v>
      </c>
      <c r="F30" s="569" t="s">
        <v>111</v>
      </c>
      <c r="G30" s="576"/>
      <c r="H30" s="571" t="s">
        <v>112</v>
      </c>
      <c r="I30" s="568">
        <v>28</v>
      </c>
      <c r="J30" s="569" t="s">
        <v>117</v>
      </c>
      <c r="K30" s="576"/>
      <c r="L30" s="649" t="s">
        <v>112</v>
      </c>
      <c r="M30" s="568">
        <v>28</v>
      </c>
      <c r="N30" s="569" t="s">
        <v>114</v>
      </c>
      <c r="O30" s="576"/>
      <c r="P30" s="571">
        <v>48.285714285714285</v>
      </c>
      <c r="Q30" s="568">
        <v>28</v>
      </c>
      <c r="R30" s="569" t="s">
        <v>111</v>
      </c>
      <c r="S30" s="576"/>
      <c r="T30" s="649" t="s">
        <v>112</v>
      </c>
      <c r="U30" s="572">
        <v>28</v>
      </c>
      <c r="V30" s="573" t="s">
        <v>113</v>
      </c>
      <c r="W30" s="577"/>
      <c r="X30" s="580" t="s">
        <v>112</v>
      </c>
      <c r="Y30" s="568">
        <v>28</v>
      </c>
      <c r="Z30" s="569" t="s">
        <v>116</v>
      </c>
      <c r="AA30" s="578"/>
      <c r="AB30" s="649" t="s">
        <v>112</v>
      </c>
      <c r="AC30" s="568">
        <v>28</v>
      </c>
      <c r="AD30" s="569" t="s">
        <v>116</v>
      </c>
      <c r="AE30" s="576"/>
      <c r="AF30" s="649" t="s">
        <v>112</v>
      </c>
      <c r="AG30" s="568">
        <v>28</v>
      </c>
      <c r="AH30" s="569" t="s">
        <v>117</v>
      </c>
      <c r="AI30" s="576"/>
      <c r="AJ30" s="571" t="s">
        <v>112</v>
      </c>
      <c r="AK30" s="572">
        <v>28</v>
      </c>
      <c r="AL30" s="573" t="s">
        <v>118</v>
      </c>
      <c r="AM30" s="577" t="s">
        <v>263</v>
      </c>
      <c r="AN30" s="580" t="s">
        <v>112</v>
      </c>
      <c r="AO30" s="568">
        <v>28</v>
      </c>
      <c r="AP30" s="569" t="s">
        <v>111</v>
      </c>
      <c r="AQ30" s="576"/>
      <c r="AR30" s="571" t="s">
        <v>112</v>
      </c>
      <c r="AS30" s="568">
        <v>28</v>
      </c>
      <c r="AT30" s="569" t="s">
        <v>117</v>
      </c>
      <c r="AU30" s="576"/>
      <c r="AV30" s="649" t="s">
        <v>112</v>
      </c>
    </row>
    <row r="31" spans="1:48">
      <c r="A31" s="568">
        <v>29</v>
      </c>
      <c r="B31" s="569" t="s">
        <v>114</v>
      </c>
      <c r="C31" s="578"/>
      <c r="D31" s="677">
        <v>35.285714285714285</v>
      </c>
      <c r="E31" s="568">
        <v>29</v>
      </c>
      <c r="F31" s="569" t="s">
        <v>115</v>
      </c>
      <c r="G31" s="576"/>
      <c r="H31" s="571" t="s">
        <v>112</v>
      </c>
      <c r="I31" s="572">
        <v>29</v>
      </c>
      <c r="J31" s="573" t="s">
        <v>113</v>
      </c>
      <c r="K31" s="577"/>
      <c r="L31" s="580" t="s">
        <v>112</v>
      </c>
      <c r="M31" s="568">
        <v>29</v>
      </c>
      <c r="N31" s="569" t="s">
        <v>116</v>
      </c>
      <c r="O31" s="576"/>
      <c r="P31" s="571" t="s">
        <v>112</v>
      </c>
      <c r="Q31" s="568">
        <v>29</v>
      </c>
      <c r="R31" s="569" t="s">
        <v>115</v>
      </c>
      <c r="S31" s="576"/>
      <c r="T31" s="649" t="s">
        <v>112</v>
      </c>
      <c r="U31" s="572">
        <v>29</v>
      </c>
      <c r="V31" s="573" t="s">
        <v>118</v>
      </c>
      <c r="W31" s="577"/>
      <c r="X31" s="580" t="s">
        <v>112</v>
      </c>
      <c r="Y31" s="644"/>
      <c r="Z31" s="645"/>
      <c r="AA31" s="650"/>
      <c r="AB31" s="648"/>
      <c r="AC31" s="568">
        <v>29</v>
      </c>
      <c r="AD31" s="569" t="s">
        <v>111</v>
      </c>
      <c r="AE31" s="576"/>
      <c r="AF31" s="649" t="s">
        <v>112</v>
      </c>
      <c r="AG31" s="572">
        <v>29</v>
      </c>
      <c r="AH31" s="573" t="s">
        <v>113</v>
      </c>
      <c r="AI31" s="577"/>
      <c r="AJ31" s="575" t="s">
        <v>112</v>
      </c>
      <c r="AK31" s="568">
        <v>29</v>
      </c>
      <c r="AL31" s="569" t="s">
        <v>114</v>
      </c>
      <c r="AM31" s="576" t="s">
        <v>270</v>
      </c>
      <c r="AN31" s="649">
        <v>22.142857142857142</v>
      </c>
      <c r="AO31" s="568">
        <v>29</v>
      </c>
      <c r="AP31" s="569" t="s">
        <v>115</v>
      </c>
      <c r="AQ31" s="576"/>
      <c r="AR31" s="571" t="s">
        <v>112</v>
      </c>
      <c r="AS31" s="572">
        <v>29</v>
      </c>
      <c r="AT31" s="573" t="s">
        <v>113</v>
      </c>
      <c r="AU31" s="577"/>
      <c r="AV31" s="580" t="s">
        <v>112</v>
      </c>
    </row>
    <row r="32" spans="1:48">
      <c r="A32" s="568">
        <v>30</v>
      </c>
      <c r="B32" s="569" t="s">
        <v>116</v>
      </c>
      <c r="C32" s="578"/>
      <c r="D32" s="677" t="s">
        <v>112</v>
      </c>
      <c r="E32" s="568">
        <v>30</v>
      </c>
      <c r="F32" s="569" t="s">
        <v>117</v>
      </c>
      <c r="G32" s="581"/>
      <c r="H32" s="571" t="s">
        <v>112</v>
      </c>
      <c r="I32" s="572">
        <v>30</v>
      </c>
      <c r="J32" s="573" t="s">
        <v>118</v>
      </c>
      <c r="K32" s="577"/>
      <c r="L32" s="580" t="s">
        <v>112</v>
      </c>
      <c r="M32" s="568">
        <v>30</v>
      </c>
      <c r="N32" s="569" t="s">
        <v>111</v>
      </c>
      <c r="O32" s="581"/>
      <c r="P32" s="571" t="s">
        <v>112</v>
      </c>
      <c r="Q32" s="568">
        <v>30</v>
      </c>
      <c r="R32" s="569" t="s">
        <v>117</v>
      </c>
      <c r="S32" s="576"/>
      <c r="T32" s="649">
        <v>0</v>
      </c>
      <c r="U32" s="568">
        <v>30</v>
      </c>
      <c r="V32" s="569" t="s">
        <v>114</v>
      </c>
      <c r="W32" s="576"/>
      <c r="X32" s="649">
        <v>5.1428571428571432</v>
      </c>
      <c r="Y32" s="646"/>
      <c r="Z32" s="647"/>
      <c r="AA32" s="651"/>
      <c r="AB32" s="417"/>
      <c r="AC32" s="568">
        <v>30</v>
      </c>
      <c r="AD32" s="569" t="s">
        <v>115</v>
      </c>
      <c r="AE32" s="576"/>
      <c r="AF32" s="649" t="s">
        <v>112</v>
      </c>
      <c r="AG32" s="572">
        <v>30</v>
      </c>
      <c r="AH32" s="573" t="s">
        <v>118</v>
      </c>
      <c r="AI32" s="652"/>
      <c r="AJ32" s="575" t="s">
        <v>112</v>
      </c>
      <c r="AK32" s="568">
        <v>30</v>
      </c>
      <c r="AL32" s="569" t="s">
        <v>116</v>
      </c>
      <c r="AM32" s="576"/>
      <c r="AN32" s="649" t="s">
        <v>112</v>
      </c>
      <c r="AO32" s="568">
        <v>30</v>
      </c>
      <c r="AP32" s="569" t="s">
        <v>117</v>
      </c>
      <c r="AQ32" s="581"/>
      <c r="AR32" s="571" t="s">
        <v>112</v>
      </c>
      <c r="AS32" s="572">
        <v>30</v>
      </c>
      <c r="AT32" s="573" t="s">
        <v>118</v>
      </c>
      <c r="AU32" s="577"/>
      <c r="AV32" s="580" t="s">
        <v>112</v>
      </c>
    </row>
    <row r="33" spans="1:48">
      <c r="A33" s="653">
        <v>31</v>
      </c>
      <c r="B33" s="654" t="s">
        <v>111</v>
      </c>
      <c r="C33" s="581"/>
      <c r="D33" s="655" t="s">
        <v>112</v>
      </c>
      <c r="E33" s="644"/>
      <c r="F33" s="645"/>
      <c r="G33" s="650"/>
      <c r="H33" s="656"/>
      <c r="I33" s="653">
        <v>31</v>
      </c>
      <c r="J33" s="654" t="s">
        <v>114</v>
      </c>
      <c r="K33" s="581"/>
      <c r="L33" s="661">
        <v>44.285714285714285</v>
      </c>
      <c r="M33" s="644"/>
      <c r="N33" s="645"/>
      <c r="O33" s="650"/>
      <c r="P33" s="660"/>
      <c r="Q33" s="657">
        <v>31</v>
      </c>
      <c r="R33" s="658" t="s">
        <v>113</v>
      </c>
      <c r="S33" s="652" t="s">
        <v>68</v>
      </c>
      <c r="T33" s="659" t="s">
        <v>112</v>
      </c>
      <c r="U33" s="653">
        <v>31</v>
      </c>
      <c r="V33" s="654" t="s">
        <v>116</v>
      </c>
      <c r="W33" s="581"/>
      <c r="X33" s="661" t="s">
        <v>112</v>
      </c>
      <c r="Y33" s="646"/>
      <c r="Z33" s="647"/>
      <c r="AA33" s="651"/>
      <c r="AB33" s="417"/>
      <c r="AC33" s="653">
        <v>31</v>
      </c>
      <c r="AD33" s="654" t="s">
        <v>117</v>
      </c>
      <c r="AE33" s="581"/>
      <c r="AF33" s="661" t="s">
        <v>112</v>
      </c>
      <c r="AG33" s="644"/>
      <c r="AH33" s="645"/>
      <c r="AI33" s="650"/>
      <c r="AJ33" s="660"/>
      <c r="AK33" s="653">
        <v>31</v>
      </c>
      <c r="AL33" s="654" t="s">
        <v>111</v>
      </c>
      <c r="AM33" s="581"/>
      <c r="AN33" s="661" t="s">
        <v>112</v>
      </c>
      <c r="AO33" s="644"/>
      <c r="AP33" s="645"/>
      <c r="AQ33" s="650"/>
      <c r="AR33" s="660"/>
      <c r="AS33" s="653">
        <v>31</v>
      </c>
      <c r="AT33" s="654" t="s">
        <v>114</v>
      </c>
      <c r="AU33" s="581"/>
      <c r="AV33" s="661">
        <v>31.142857142857142</v>
      </c>
    </row>
  </sheetData>
  <mergeCells count="1">
    <mergeCell ref="AM20:AN20"/>
  </mergeCells>
  <pageMargins left="0.7" right="0.7" top="0.75" bottom="0.75" header="0.3" footer="0.3"/>
  <pageSetup paperSize="9" scale="50"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9E195-61D7-5046-BA5B-AE05FC254746}">
  <sheetPr>
    <pageSetUpPr fitToPage="1"/>
  </sheetPr>
  <dimension ref="A1:X33"/>
  <sheetViews>
    <sheetView workbookViewId="0">
      <selection sqref="A1:X1"/>
    </sheetView>
  </sheetViews>
  <sheetFormatPr baseColWidth="10" defaultRowHeight="16"/>
  <cols>
    <col min="1" max="2" width="3.140625" style="668" customWidth="1"/>
    <col min="3" max="3" width="16.140625" style="668" customWidth="1"/>
    <col min="4" max="6" width="3.140625" style="668" customWidth="1"/>
    <col min="7" max="7" width="16.140625" style="668" customWidth="1"/>
    <col min="8" max="10" width="3.140625" style="668" customWidth="1"/>
    <col min="11" max="11" width="16.140625" style="668" customWidth="1"/>
    <col min="12" max="14" width="3.140625" style="668" customWidth="1"/>
    <col min="15" max="15" width="16.140625" style="668" customWidth="1"/>
    <col min="16" max="18" width="3.140625" style="668" customWidth="1"/>
    <col min="19" max="19" width="16.140625" style="668" customWidth="1"/>
    <col min="20" max="22" width="3.140625" style="668" customWidth="1"/>
    <col min="23" max="23" width="16.140625" style="668" customWidth="1"/>
    <col min="24" max="24" width="3.140625" style="668" customWidth="1"/>
    <col min="25" max="16384" width="10.7109375" style="668"/>
  </cols>
  <sheetData>
    <row r="1" spans="1:24" ht="30">
      <c r="A1" s="998" t="str">
        <f>'TOMT ÅR'!A1</f>
        <v>ÅRSKALENDER  for  MIN EGEN DAGINSTITUTION  2022 - 2023</v>
      </c>
      <c r="B1" s="999"/>
      <c r="C1" s="999"/>
      <c r="D1" s="999"/>
      <c r="E1" s="999"/>
      <c r="F1" s="999"/>
      <c r="G1" s="999"/>
      <c r="H1" s="999"/>
      <c r="I1" s="999"/>
      <c r="J1" s="999"/>
      <c r="K1" s="999"/>
      <c r="L1" s="999"/>
      <c r="M1" s="999"/>
      <c r="N1" s="999"/>
      <c r="O1" s="999"/>
      <c r="P1" s="999"/>
      <c r="Q1" s="999"/>
      <c r="R1" s="999"/>
      <c r="S1" s="999"/>
      <c r="T1" s="999"/>
      <c r="U1" s="999"/>
      <c r="V1" s="999"/>
      <c r="W1" s="999"/>
      <c r="X1" s="1000"/>
    </row>
    <row r="2" spans="1:24" ht="18">
      <c r="A2" s="669" t="s">
        <v>44</v>
      </c>
      <c r="B2" s="670"/>
      <c r="C2" s="671"/>
      <c r="D2" s="672"/>
      <c r="E2" s="669" t="s">
        <v>45</v>
      </c>
      <c r="F2" s="670"/>
      <c r="G2" s="671"/>
      <c r="H2" s="672"/>
      <c r="I2" s="673" t="s">
        <v>46</v>
      </c>
      <c r="J2" s="670"/>
      <c r="K2" s="671"/>
      <c r="L2" s="672"/>
      <c r="M2" s="669" t="s">
        <v>47</v>
      </c>
      <c r="N2" s="670"/>
      <c r="O2" s="671"/>
      <c r="P2" s="672"/>
      <c r="Q2" s="669" t="s">
        <v>48</v>
      </c>
      <c r="R2" s="670"/>
      <c r="S2" s="671"/>
      <c r="T2" s="672"/>
      <c r="U2" s="669" t="s">
        <v>49</v>
      </c>
      <c r="V2" s="670"/>
      <c r="W2" s="671"/>
      <c r="X2" s="672"/>
    </row>
    <row r="3" spans="1:24">
      <c r="A3" s="644">
        <v>1</v>
      </c>
      <c r="B3" s="645" t="s">
        <v>114</v>
      </c>
      <c r="C3" s="650"/>
      <c r="D3" s="674">
        <v>31.285714285714285</v>
      </c>
      <c r="E3" s="568">
        <v>1</v>
      </c>
      <c r="F3" s="569" t="s">
        <v>115</v>
      </c>
      <c r="G3" s="570"/>
      <c r="H3" s="571" t="s">
        <v>112</v>
      </c>
      <c r="I3" s="675">
        <v>1</v>
      </c>
      <c r="J3" s="676" t="s">
        <v>113</v>
      </c>
      <c r="K3" s="574"/>
      <c r="L3" s="662" t="s">
        <v>112</v>
      </c>
      <c r="M3" s="568">
        <v>1</v>
      </c>
      <c r="N3" s="569" t="s">
        <v>116</v>
      </c>
      <c r="O3" s="570"/>
      <c r="P3" s="571" t="s">
        <v>112</v>
      </c>
      <c r="Q3" s="644">
        <v>1</v>
      </c>
      <c r="R3" s="645" t="s">
        <v>115</v>
      </c>
      <c r="S3" s="570"/>
      <c r="T3" s="648" t="s">
        <v>112</v>
      </c>
      <c r="U3" s="675">
        <v>1</v>
      </c>
      <c r="V3" s="676" t="s">
        <v>118</v>
      </c>
      <c r="W3" s="574" t="s">
        <v>58</v>
      </c>
      <c r="X3" s="662" t="s">
        <v>112</v>
      </c>
    </row>
    <row r="4" spans="1:24">
      <c r="A4" s="568">
        <v>2</v>
      </c>
      <c r="B4" s="569" t="s">
        <v>116</v>
      </c>
      <c r="C4" s="578"/>
      <c r="D4" s="677" t="s">
        <v>112</v>
      </c>
      <c r="E4" s="568">
        <v>2</v>
      </c>
      <c r="F4" s="569" t="s">
        <v>117</v>
      </c>
      <c r="G4" s="576"/>
      <c r="H4" s="571" t="s">
        <v>112</v>
      </c>
      <c r="I4" s="572">
        <v>2</v>
      </c>
      <c r="J4" s="573" t="s">
        <v>118</v>
      </c>
      <c r="K4" s="577"/>
      <c r="L4" s="580" t="s">
        <v>112</v>
      </c>
      <c r="M4" s="568">
        <v>2</v>
      </c>
      <c r="N4" s="569" t="s">
        <v>111</v>
      </c>
      <c r="O4" s="576"/>
      <c r="P4" s="571" t="s">
        <v>112</v>
      </c>
      <c r="Q4" s="568">
        <v>2</v>
      </c>
      <c r="R4" s="569" t="s">
        <v>117</v>
      </c>
      <c r="S4" s="576"/>
      <c r="T4" s="649" t="s">
        <v>112</v>
      </c>
      <c r="U4" s="568">
        <v>2</v>
      </c>
      <c r="V4" s="569" t="s">
        <v>114</v>
      </c>
      <c r="W4" s="576"/>
      <c r="X4" s="649">
        <v>1.1428571428571428</v>
      </c>
    </row>
    <row r="5" spans="1:24">
      <c r="A5" s="568">
        <v>3</v>
      </c>
      <c r="B5" s="569" t="s">
        <v>111</v>
      </c>
      <c r="C5" s="578"/>
      <c r="D5" s="677" t="s">
        <v>112</v>
      </c>
      <c r="E5" s="572">
        <v>3</v>
      </c>
      <c r="F5" s="573" t="s">
        <v>113</v>
      </c>
      <c r="G5" s="577"/>
      <c r="H5" s="575" t="s">
        <v>112</v>
      </c>
      <c r="I5" s="568">
        <v>3</v>
      </c>
      <c r="J5" s="569" t="s">
        <v>114</v>
      </c>
      <c r="K5" s="576"/>
      <c r="L5" s="649">
        <v>40.285714285714285</v>
      </c>
      <c r="M5" s="568">
        <v>3</v>
      </c>
      <c r="N5" s="569" t="s">
        <v>115</v>
      </c>
      <c r="O5" s="576"/>
      <c r="P5" s="571" t="s">
        <v>112</v>
      </c>
      <c r="Q5" s="572">
        <v>3</v>
      </c>
      <c r="R5" s="573" t="s">
        <v>113</v>
      </c>
      <c r="S5" s="577"/>
      <c r="T5" s="580" t="s">
        <v>112</v>
      </c>
      <c r="U5" s="568">
        <v>3</v>
      </c>
      <c r="V5" s="569" t="s">
        <v>116</v>
      </c>
      <c r="W5" s="576"/>
      <c r="X5" s="649" t="s">
        <v>112</v>
      </c>
    </row>
    <row r="6" spans="1:24">
      <c r="A6" s="568">
        <v>4</v>
      </c>
      <c r="B6" s="569" t="s">
        <v>115</v>
      </c>
      <c r="C6" s="578"/>
      <c r="D6" s="677" t="s">
        <v>112</v>
      </c>
      <c r="E6" s="572">
        <v>4</v>
      </c>
      <c r="F6" s="573" t="s">
        <v>118</v>
      </c>
      <c r="G6" s="577"/>
      <c r="H6" s="575" t="s">
        <v>112</v>
      </c>
      <c r="I6" s="568">
        <v>4</v>
      </c>
      <c r="J6" s="569" t="s">
        <v>116</v>
      </c>
      <c r="K6" s="576"/>
      <c r="L6" s="649" t="s">
        <v>112</v>
      </c>
      <c r="M6" s="568">
        <v>4</v>
      </c>
      <c r="N6" s="569" t="s">
        <v>117</v>
      </c>
      <c r="O6" s="576"/>
      <c r="P6" s="571" t="s">
        <v>112</v>
      </c>
      <c r="Q6" s="572">
        <v>4</v>
      </c>
      <c r="R6" s="573" t="s">
        <v>118</v>
      </c>
      <c r="S6" s="577"/>
      <c r="T6" s="580" t="s">
        <v>112</v>
      </c>
      <c r="U6" s="568">
        <v>4</v>
      </c>
      <c r="V6" s="569" t="s">
        <v>111</v>
      </c>
      <c r="W6" s="576"/>
      <c r="X6" s="649" t="s">
        <v>112</v>
      </c>
    </row>
    <row r="7" spans="1:24">
      <c r="A7" s="568">
        <v>5</v>
      </c>
      <c r="B7" s="569" t="s">
        <v>117</v>
      </c>
      <c r="C7" s="578"/>
      <c r="D7" s="678" t="s">
        <v>112</v>
      </c>
      <c r="E7" s="568">
        <v>5</v>
      </c>
      <c r="F7" s="569" t="s">
        <v>114</v>
      </c>
      <c r="G7" s="576"/>
      <c r="H7" s="571">
        <v>36.285714285714285</v>
      </c>
      <c r="I7" s="568">
        <v>5</v>
      </c>
      <c r="J7" s="569" t="s">
        <v>111</v>
      </c>
      <c r="K7" s="576"/>
      <c r="L7" s="649" t="s">
        <v>112</v>
      </c>
      <c r="M7" s="572">
        <v>5</v>
      </c>
      <c r="N7" s="573" t="s">
        <v>113</v>
      </c>
      <c r="O7" s="577"/>
      <c r="P7" s="575" t="s">
        <v>112</v>
      </c>
      <c r="Q7" s="568">
        <v>5</v>
      </c>
      <c r="R7" s="569" t="s">
        <v>114</v>
      </c>
      <c r="S7" s="576"/>
      <c r="T7" s="649">
        <v>49.285714285714285</v>
      </c>
      <c r="U7" s="568">
        <v>5</v>
      </c>
      <c r="V7" s="569" t="s">
        <v>115</v>
      </c>
      <c r="W7" s="576"/>
      <c r="X7" s="649" t="s">
        <v>112</v>
      </c>
    </row>
    <row r="8" spans="1:24">
      <c r="A8" s="572">
        <v>6</v>
      </c>
      <c r="B8" s="573" t="s">
        <v>113</v>
      </c>
      <c r="C8" s="579"/>
      <c r="D8" s="679" t="s">
        <v>112</v>
      </c>
      <c r="E8" s="568">
        <v>6</v>
      </c>
      <c r="F8" s="569" t="s">
        <v>116</v>
      </c>
      <c r="G8" s="576"/>
      <c r="H8" s="571" t="s">
        <v>112</v>
      </c>
      <c r="I8" s="568">
        <v>6</v>
      </c>
      <c r="J8" s="569" t="s">
        <v>115</v>
      </c>
      <c r="K8" s="576"/>
      <c r="L8" s="649" t="s">
        <v>112</v>
      </c>
      <c r="M8" s="572">
        <v>6</v>
      </c>
      <c r="N8" s="573" t="s">
        <v>118</v>
      </c>
      <c r="O8" s="577"/>
      <c r="P8" s="575" t="s">
        <v>112</v>
      </c>
      <c r="Q8" s="568">
        <v>6</v>
      </c>
      <c r="R8" s="569" t="s">
        <v>116</v>
      </c>
      <c r="S8" s="576"/>
      <c r="T8" s="649" t="s">
        <v>112</v>
      </c>
      <c r="U8" s="568">
        <v>6</v>
      </c>
      <c r="V8" s="569" t="s">
        <v>117</v>
      </c>
      <c r="W8" s="576"/>
      <c r="X8" s="649" t="s">
        <v>112</v>
      </c>
    </row>
    <row r="9" spans="1:24">
      <c r="A9" s="572">
        <v>7</v>
      </c>
      <c r="B9" s="573" t="s">
        <v>118</v>
      </c>
      <c r="C9" s="579"/>
      <c r="D9" s="679" t="s">
        <v>112</v>
      </c>
      <c r="E9" s="568">
        <v>7</v>
      </c>
      <c r="F9" s="569" t="s">
        <v>111</v>
      </c>
      <c r="G9" s="576"/>
      <c r="H9" s="571" t="s">
        <v>112</v>
      </c>
      <c r="I9" s="568">
        <v>7</v>
      </c>
      <c r="J9" s="569" t="s">
        <v>117</v>
      </c>
      <c r="K9" s="576"/>
      <c r="L9" s="649" t="s">
        <v>112</v>
      </c>
      <c r="M9" s="568">
        <v>7</v>
      </c>
      <c r="N9" s="569" t="s">
        <v>114</v>
      </c>
      <c r="O9" s="576"/>
      <c r="P9" s="571">
        <v>45.285714285714285</v>
      </c>
      <c r="Q9" s="568">
        <v>7</v>
      </c>
      <c r="R9" s="569" t="s">
        <v>111</v>
      </c>
      <c r="S9" s="576"/>
      <c r="T9" s="649" t="s">
        <v>112</v>
      </c>
      <c r="U9" s="572">
        <v>7</v>
      </c>
      <c r="V9" s="573" t="s">
        <v>113</v>
      </c>
      <c r="W9" s="577"/>
      <c r="X9" s="580" t="s">
        <v>112</v>
      </c>
    </row>
    <row r="10" spans="1:24">
      <c r="A10" s="568">
        <v>8</v>
      </c>
      <c r="B10" s="569" t="s">
        <v>114</v>
      </c>
      <c r="C10" s="578"/>
      <c r="D10" s="677">
        <v>32.285714285714285</v>
      </c>
      <c r="E10" s="568">
        <v>8</v>
      </c>
      <c r="F10" s="569" t="s">
        <v>115</v>
      </c>
      <c r="G10" s="576"/>
      <c r="H10" s="571" t="s">
        <v>112</v>
      </c>
      <c r="I10" s="572">
        <v>8</v>
      </c>
      <c r="J10" s="573" t="s">
        <v>113</v>
      </c>
      <c r="K10" s="577"/>
      <c r="L10" s="580" t="s">
        <v>112</v>
      </c>
      <c r="M10" s="568">
        <v>8</v>
      </c>
      <c r="N10" s="569" t="s">
        <v>116</v>
      </c>
      <c r="O10" s="576"/>
      <c r="P10" s="571" t="s">
        <v>112</v>
      </c>
      <c r="Q10" s="568">
        <v>8</v>
      </c>
      <c r="R10" s="569" t="s">
        <v>115</v>
      </c>
      <c r="S10" s="576"/>
      <c r="T10" s="649" t="s">
        <v>112</v>
      </c>
      <c r="U10" s="572">
        <v>8</v>
      </c>
      <c r="V10" s="573" t="s">
        <v>118</v>
      </c>
      <c r="W10" s="577"/>
      <c r="X10" s="580" t="s">
        <v>112</v>
      </c>
    </row>
    <row r="11" spans="1:24">
      <c r="A11" s="568">
        <v>9</v>
      </c>
      <c r="B11" s="569" t="s">
        <v>116</v>
      </c>
      <c r="C11" s="578"/>
      <c r="D11" s="677" t="s">
        <v>112</v>
      </c>
      <c r="E11" s="568">
        <v>9</v>
      </c>
      <c r="F11" s="569" t="s">
        <v>117</v>
      </c>
      <c r="G11" s="576"/>
      <c r="H11" s="571" t="s">
        <v>112</v>
      </c>
      <c r="I11" s="572">
        <v>9</v>
      </c>
      <c r="J11" s="573" t="s">
        <v>118</v>
      </c>
      <c r="K11" s="577"/>
      <c r="L11" s="580" t="s">
        <v>112</v>
      </c>
      <c r="M11" s="568">
        <v>9</v>
      </c>
      <c r="N11" s="569" t="s">
        <v>111</v>
      </c>
      <c r="O11" s="576"/>
      <c r="P11" s="571" t="s">
        <v>112</v>
      </c>
      <c r="Q11" s="568">
        <v>9</v>
      </c>
      <c r="R11" s="569" t="s">
        <v>117</v>
      </c>
      <c r="S11" s="576"/>
      <c r="T11" s="649" t="s">
        <v>112</v>
      </c>
      <c r="U11" s="568">
        <v>9</v>
      </c>
      <c r="V11" s="569" t="s">
        <v>114</v>
      </c>
      <c r="W11" s="576"/>
      <c r="X11" s="649">
        <v>2.1428571428571428</v>
      </c>
    </row>
    <row r="12" spans="1:24">
      <c r="A12" s="568">
        <v>10</v>
      </c>
      <c r="B12" s="569" t="s">
        <v>111</v>
      </c>
      <c r="C12" s="578"/>
      <c r="D12" s="677" t="s">
        <v>112</v>
      </c>
      <c r="E12" s="572">
        <v>10</v>
      </c>
      <c r="F12" s="573" t="s">
        <v>113</v>
      </c>
      <c r="G12" s="577"/>
      <c r="H12" s="575" t="s">
        <v>112</v>
      </c>
      <c r="I12" s="568">
        <v>10</v>
      </c>
      <c r="J12" s="569" t="s">
        <v>114</v>
      </c>
      <c r="K12" s="576"/>
      <c r="L12" s="649">
        <v>41.285714285714285</v>
      </c>
      <c r="M12" s="568">
        <v>10</v>
      </c>
      <c r="N12" s="569" t="s">
        <v>115</v>
      </c>
      <c r="O12" s="576"/>
      <c r="P12" s="571" t="s">
        <v>112</v>
      </c>
      <c r="Q12" s="572">
        <v>10</v>
      </c>
      <c r="R12" s="573" t="s">
        <v>113</v>
      </c>
      <c r="S12" s="577"/>
      <c r="T12" s="580" t="s">
        <v>112</v>
      </c>
      <c r="U12" s="568">
        <v>10</v>
      </c>
      <c r="V12" s="569" t="s">
        <v>116</v>
      </c>
      <c r="W12" s="576"/>
      <c r="X12" s="649" t="s">
        <v>112</v>
      </c>
    </row>
    <row r="13" spans="1:24">
      <c r="A13" s="568">
        <v>11</v>
      </c>
      <c r="B13" s="569" t="s">
        <v>115</v>
      </c>
      <c r="C13" s="578"/>
      <c r="D13" s="677" t="s">
        <v>112</v>
      </c>
      <c r="E13" s="572">
        <v>11</v>
      </c>
      <c r="F13" s="573" t="s">
        <v>118</v>
      </c>
      <c r="G13" s="577"/>
      <c r="H13" s="575" t="s">
        <v>112</v>
      </c>
      <c r="I13" s="568">
        <v>11</v>
      </c>
      <c r="J13" s="569" t="s">
        <v>116</v>
      </c>
      <c r="K13" s="576"/>
      <c r="L13" s="649" t="s">
        <v>112</v>
      </c>
      <c r="M13" s="568">
        <v>11</v>
      </c>
      <c r="N13" s="569" t="s">
        <v>117</v>
      </c>
      <c r="O13" s="576"/>
      <c r="P13" s="571" t="s">
        <v>112</v>
      </c>
      <c r="Q13" s="572">
        <v>11</v>
      </c>
      <c r="R13" s="573" t="s">
        <v>118</v>
      </c>
      <c r="S13" s="577"/>
      <c r="T13" s="580" t="s">
        <v>112</v>
      </c>
      <c r="U13" s="568">
        <v>11</v>
      </c>
      <c r="V13" s="569" t="s">
        <v>111</v>
      </c>
      <c r="W13" s="576"/>
      <c r="X13" s="649" t="s">
        <v>112</v>
      </c>
    </row>
    <row r="14" spans="1:24">
      <c r="A14" s="568">
        <v>12</v>
      </c>
      <c r="B14" s="569" t="s">
        <v>117</v>
      </c>
      <c r="C14" s="578"/>
      <c r="D14" s="678" t="s">
        <v>112</v>
      </c>
      <c r="E14" s="568">
        <v>12</v>
      </c>
      <c r="F14" s="569" t="s">
        <v>114</v>
      </c>
      <c r="G14" s="576"/>
      <c r="H14" s="571">
        <v>37.285714285714285</v>
      </c>
      <c r="I14" s="568">
        <v>12</v>
      </c>
      <c r="J14" s="569" t="s">
        <v>111</v>
      </c>
      <c r="K14" s="576"/>
      <c r="L14" s="649" t="s">
        <v>112</v>
      </c>
      <c r="M14" s="572">
        <v>12</v>
      </c>
      <c r="N14" s="573" t="s">
        <v>113</v>
      </c>
      <c r="O14" s="577"/>
      <c r="P14" s="575" t="s">
        <v>112</v>
      </c>
      <c r="Q14" s="568">
        <v>12</v>
      </c>
      <c r="R14" s="569" t="s">
        <v>114</v>
      </c>
      <c r="S14" s="576"/>
      <c r="T14" s="649">
        <v>50.285714285714285</v>
      </c>
      <c r="U14" s="568">
        <v>12</v>
      </c>
      <c r="V14" s="569" t="s">
        <v>115</v>
      </c>
      <c r="W14" s="576"/>
      <c r="X14" s="649" t="s">
        <v>112</v>
      </c>
    </row>
    <row r="15" spans="1:24">
      <c r="A15" s="572">
        <v>13</v>
      </c>
      <c r="B15" s="573" t="s">
        <v>113</v>
      </c>
      <c r="C15" s="579"/>
      <c r="D15" s="679" t="s">
        <v>112</v>
      </c>
      <c r="E15" s="568">
        <v>13</v>
      </c>
      <c r="F15" s="569" t="s">
        <v>116</v>
      </c>
      <c r="G15" s="576"/>
      <c r="H15" s="571" t="s">
        <v>112</v>
      </c>
      <c r="I15" s="568">
        <v>13</v>
      </c>
      <c r="J15" s="569" t="s">
        <v>115</v>
      </c>
      <c r="K15" s="576"/>
      <c r="L15" s="649" t="s">
        <v>112</v>
      </c>
      <c r="M15" s="572">
        <v>13</v>
      </c>
      <c r="N15" s="573" t="s">
        <v>118</v>
      </c>
      <c r="O15" s="577"/>
      <c r="P15" s="575" t="s">
        <v>112</v>
      </c>
      <c r="Q15" s="568">
        <v>13</v>
      </c>
      <c r="R15" s="569" t="s">
        <v>116</v>
      </c>
      <c r="S15" s="576"/>
      <c r="T15" s="649" t="s">
        <v>112</v>
      </c>
      <c r="U15" s="568">
        <v>13</v>
      </c>
      <c r="V15" s="569" t="s">
        <v>117</v>
      </c>
      <c r="W15" s="576"/>
      <c r="X15" s="649" t="s">
        <v>112</v>
      </c>
    </row>
    <row r="16" spans="1:24">
      <c r="A16" s="572">
        <v>14</v>
      </c>
      <c r="B16" s="573" t="s">
        <v>118</v>
      </c>
      <c r="C16" s="579"/>
      <c r="D16" s="679" t="s">
        <v>112</v>
      </c>
      <c r="E16" s="568">
        <v>14</v>
      </c>
      <c r="F16" s="569" t="s">
        <v>111</v>
      </c>
      <c r="G16" s="576"/>
      <c r="H16" s="571" t="s">
        <v>112</v>
      </c>
      <c r="I16" s="568">
        <v>14</v>
      </c>
      <c r="J16" s="569" t="s">
        <v>117</v>
      </c>
      <c r="K16" s="576"/>
      <c r="L16" s="649" t="s">
        <v>112</v>
      </c>
      <c r="M16" s="568">
        <v>14</v>
      </c>
      <c r="N16" s="569" t="s">
        <v>114</v>
      </c>
      <c r="O16" s="576"/>
      <c r="P16" s="571">
        <v>46.285714285714285</v>
      </c>
      <c r="Q16" s="568">
        <v>14</v>
      </c>
      <c r="R16" s="569" t="s">
        <v>111</v>
      </c>
      <c r="S16" s="576"/>
      <c r="T16" s="649" t="s">
        <v>112</v>
      </c>
      <c r="U16" s="572">
        <v>14</v>
      </c>
      <c r="V16" s="573" t="s">
        <v>113</v>
      </c>
      <c r="W16" s="577"/>
      <c r="X16" s="580" t="s">
        <v>112</v>
      </c>
    </row>
    <row r="17" spans="1:24">
      <c r="A17" s="568">
        <v>15</v>
      </c>
      <c r="B17" s="569" t="s">
        <v>114</v>
      </c>
      <c r="C17" s="578"/>
      <c r="D17" s="677">
        <v>33.285714285714285</v>
      </c>
      <c r="E17" s="568">
        <v>15</v>
      </c>
      <c r="F17" s="569" t="s">
        <v>115</v>
      </c>
      <c r="G17" s="576"/>
      <c r="H17" s="571" t="s">
        <v>112</v>
      </c>
      <c r="I17" s="572">
        <v>15</v>
      </c>
      <c r="J17" s="573" t="s">
        <v>113</v>
      </c>
      <c r="K17" s="577"/>
      <c r="L17" s="580" t="s">
        <v>112</v>
      </c>
      <c r="M17" s="568">
        <v>15</v>
      </c>
      <c r="N17" s="569" t="s">
        <v>116</v>
      </c>
      <c r="O17" s="576"/>
      <c r="P17" s="571" t="s">
        <v>112</v>
      </c>
      <c r="Q17" s="568">
        <v>15</v>
      </c>
      <c r="R17" s="569" t="s">
        <v>115</v>
      </c>
      <c r="S17" s="576"/>
      <c r="T17" s="649" t="s">
        <v>112</v>
      </c>
      <c r="U17" s="572">
        <v>15</v>
      </c>
      <c r="V17" s="573" t="s">
        <v>118</v>
      </c>
      <c r="W17" s="577"/>
      <c r="X17" s="580" t="s">
        <v>112</v>
      </c>
    </row>
    <row r="18" spans="1:24">
      <c r="A18" s="568">
        <v>16</v>
      </c>
      <c r="B18" s="569" t="s">
        <v>116</v>
      </c>
      <c r="C18" s="578"/>
      <c r="D18" s="677" t="s">
        <v>112</v>
      </c>
      <c r="E18" s="568">
        <v>16</v>
      </c>
      <c r="F18" s="569" t="s">
        <v>117</v>
      </c>
      <c r="G18" s="576"/>
      <c r="H18" s="571" t="s">
        <v>112</v>
      </c>
      <c r="I18" s="572">
        <v>16</v>
      </c>
      <c r="J18" s="573" t="s">
        <v>118</v>
      </c>
      <c r="K18" s="577"/>
      <c r="L18" s="580" t="s">
        <v>112</v>
      </c>
      <c r="M18" s="568">
        <v>16</v>
      </c>
      <c r="N18" s="569" t="s">
        <v>111</v>
      </c>
      <c r="O18" s="576"/>
      <c r="P18" s="571" t="s">
        <v>112</v>
      </c>
      <c r="Q18" s="568">
        <v>16</v>
      </c>
      <c r="R18" s="569" t="s">
        <v>117</v>
      </c>
      <c r="S18" s="576"/>
      <c r="T18" s="649" t="s">
        <v>112</v>
      </c>
      <c r="U18" s="568">
        <v>16</v>
      </c>
      <c r="V18" s="569" t="s">
        <v>114</v>
      </c>
      <c r="W18" s="576"/>
      <c r="X18" s="649">
        <v>3.1428571428571428</v>
      </c>
    </row>
    <row r="19" spans="1:24">
      <c r="A19" s="568">
        <v>17</v>
      </c>
      <c r="B19" s="569" t="s">
        <v>111</v>
      </c>
      <c r="C19" s="578"/>
      <c r="D19" s="677" t="s">
        <v>112</v>
      </c>
      <c r="E19" s="572">
        <v>17</v>
      </c>
      <c r="F19" s="573" t="s">
        <v>113</v>
      </c>
      <c r="G19" s="577"/>
      <c r="H19" s="575" t="s">
        <v>112</v>
      </c>
      <c r="I19" s="568">
        <v>17</v>
      </c>
      <c r="J19" s="569" t="s">
        <v>114</v>
      </c>
      <c r="K19" s="576"/>
      <c r="L19" s="649">
        <v>42.285714285714285</v>
      </c>
      <c r="M19" s="568">
        <v>17</v>
      </c>
      <c r="N19" s="569" t="s">
        <v>115</v>
      </c>
      <c r="O19" s="576"/>
      <c r="P19" s="571" t="s">
        <v>112</v>
      </c>
      <c r="Q19" s="572">
        <v>17</v>
      </c>
      <c r="R19" s="573" t="s">
        <v>113</v>
      </c>
      <c r="S19" s="577"/>
      <c r="T19" s="580" t="s">
        <v>112</v>
      </c>
      <c r="U19" s="568">
        <v>17</v>
      </c>
      <c r="V19" s="569" t="s">
        <v>116</v>
      </c>
      <c r="W19" s="576"/>
      <c r="X19" s="649" t="s">
        <v>112</v>
      </c>
    </row>
    <row r="20" spans="1:24">
      <c r="A20" s="568">
        <v>18</v>
      </c>
      <c r="B20" s="569" t="s">
        <v>115</v>
      </c>
      <c r="C20" s="578"/>
      <c r="D20" s="677" t="s">
        <v>112</v>
      </c>
      <c r="E20" s="572">
        <v>18</v>
      </c>
      <c r="F20" s="573" t="s">
        <v>118</v>
      </c>
      <c r="G20" s="577"/>
      <c r="H20" s="575" t="s">
        <v>112</v>
      </c>
      <c r="I20" s="568">
        <v>18</v>
      </c>
      <c r="J20" s="569" t="s">
        <v>116</v>
      </c>
      <c r="K20" s="576"/>
      <c r="L20" s="649" t="s">
        <v>112</v>
      </c>
      <c r="M20" s="568">
        <v>18</v>
      </c>
      <c r="N20" s="569" t="s">
        <v>117</v>
      </c>
      <c r="O20" s="576"/>
      <c r="P20" s="571" t="s">
        <v>112</v>
      </c>
      <c r="Q20" s="572">
        <v>18</v>
      </c>
      <c r="R20" s="573" t="s">
        <v>118</v>
      </c>
      <c r="S20" s="577"/>
      <c r="T20" s="580" t="s">
        <v>112</v>
      </c>
      <c r="U20" s="568">
        <v>18</v>
      </c>
      <c r="V20" s="569" t="s">
        <v>111</v>
      </c>
      <c r="W20" s="576"/>
      <c r="X20" s="649" t="s">
        <v>112</v>
      </c>
    </row>
    <row r="21" spans="1:24">
      <c r="A21" s="568">
        <v>19</v>
      </c>
      <c r="B21" s="569" t="s">
        <v>117</v>
      </c>
      <c r="C21" s="578"/>
      <c r="D21" s="678" t="s">
        <v>112</v>
      </c>
      <c r="E21" s="568">
        <v>19</v>
      </c>
      <c r="F21" s="569" t="s">
        <v>114</v>
      </c>
      <c r="G21" s="576"/>
      <c r="H21" s="571">
        <v>38.285714285714285</v>
      </c>
      <c r="I21" s="568">
        <v>19</v>
      </c>
      <c r="J21" s="569" t="s">
        <v>111</v>
      </c>
      <c r="K21" s="576"/>
      <c r="L21" s="649" t="s">
        <v>112</v>
      </c>
      <c r="M21" s="572">
        <v>19</v>
      </c>
      <c r="N21" s="573" t="s">
        <v>113</v>
      </c>
      <c r="O21" s="577"/>
      <c r="P21" s="575" t="s">
        <v>112</v>
      </c>
      <c r="Q21" s="568">
        <v>19</v>
      </c>
      <c r="R21" s="569" t="s">
        <v>114</v>
      </c>
      <c r="S21" s="576"/>
      <c r="T21" s="649">
        <v>51.285714285714285</v>
      </c>
      <c r="U21" s="568">
        <v>19</v>
      </c>
      <c r="V21" s="569" t="s">
        <v>115</v>
      </c>
      <c r="W21" s="576"/>
      <c r="X21" s="649" t="s">
        <v>112</v>
      </c>
    </row>
    <row r="22" spans="1:24">
      <c r="A22" s="572">
        <v>20</v>
      </c>
      <c r="B22" s="573" t="s">
        <v>113</v>
      </c>
      <c r="C22" s="579"/>
      <c r="D22" s="679" t="s">
        <v>112</v>
      </c>
      <c r="E22" s="568">
        <v>20</v>
      </c>
      <c r="F22" s="569" t="s">
        <v>116</v>
      </c>
      <c r="G22" s="576"/>
      <c r="H22" s="571" t="s">
        <v>112</v>
      </c>
      <c r="I22" s="568">
        <v>20</v>
      </c>
      <c r="J22" s="569" t="s">
        <v>115</v>
      </c>
      <c r="K22" s="576"/>
      <c r="L22" s="649" t="s">
        <v>112</v>
      </c>
      <c r="M22" s="572">
        <v>20</v>
      </c>
      <c r="N22" s="573" t="s">
        <v>118</v>
      </c>
      <c r="O22" s="577"/>
      <c r="P22" s="575" t="s">
        <v>112</v>
      </c>
      <c r="Q22" s="568">
        <v>20</v>
      </c>
      <c r="R22" s="569" t="s">
        <v>116</v>
      </c>
      <c r="S22" s="576"/>
      <c r="T22" s="649" t="s">
        <v>112</v>
      </c>
      <c r="U22" s="568">
        <v>20</v>
      </c>
      <c r="V22" s="569" t="s">
        <v>117</v>
      </c>
      <c r="W22" s="576"/>
      <c r="X22" s="649" t="s">
        <v>112</v>
      </c>
    </row>
    <row r="23" spans="1:24">
      <c r="A23" s="572">
        <v>21</v>
      </c>
      <c r="B23" s="573" t="s">
        <v>118</v>
      </c>
      <c r="C23" s="579"/>
      <c r="D23" s="679" t="s">
        <v>112</v>
      </c>
      <c r="E23" s="568">
        <v>21</v>
      </c>
      <c r="F23" s="569" t="s">
        <v>111</v>
      </c>
      <c r="G23" s="576"/>
      <c r="H23" s="571" t="s">
        <v>112</v>
      </c>
      <c r="I23" s="568">
        <v>21</v>
      </c>
      <c r="J23" s="569" t="s">
        <v>117</v>
      </c>
      <c r="K23" s="576"/>
      <c r="L23" s="649" t="s">
        <v>112</v>
      </c>
      <c r="M23" s="568">
        <v>21</v>
      </c>
      <c r="N23" s="569" t="s">
        <v>114</v>
      </c>
      <c r="O23" s="576"/>
      <c r="P23" s="571">
        <v>47.285714285714285</v>
      </c>
      <c r="Q23" s="568">
        <v>21</v>
      </c>
      <c r="R23" s="569" t="s">
        <v>111</v>
      </c>
      <c r="S23" s="576"/>
      <c r="T23" s="649" t="s">
        <v>112</v>
      </c>
      <c r="U23" s="572">
        <v>21</v>
      </c>
      <c r="V23" s="573" t="s">
        <v>113</v>
      </c>
      <c r="W23" s="577"/>
      <c r="X23" s="580" t="s">
        <v>112</v>
      </c>
    </row>
    <row r="24" spans="1:24">
      <c r="A24" s="568">
        <v>22</v>
      </c>
      <c r="B24" s="569" t="s">
        <v>114</v>
      </c>
      <c r="C24" s="578"/>
      <c r="D24" s="678">
        <v>34.285714285714285</v>
      </c>
      <c r="E24" s="568">
        <v>22</v>
      </c>
      <c r="F24" s="569" t="s">
        <v>115</v>
      </c>
      <c r="G24" s="576"/>
      <c r="H24" s="571" t="s">
        <v>112</v>
      </c>
      <c r="I24" s="572">
        <v>22</v>
      </c>
      <c r="J24" s="573" t="s">
        <v>113</v>
      </c>
      <c r="K24" s="577"/>
      <c r="L24" s="580" t="s">
        <v>112</v>
      </c>
      <c r="M24" s="568">
        <v>22</v>
      </c>
      <c r="N24" s="569" t="s">
        <v>116</v>
      </c>
      <c r="O24" s="576"/>
      <c r="P24" s="571" t="s">
        <v>112</v>
      </c>
      <c r="Q24" s="568">
        <v>22</v>
      </c>
      <c r="R24" s="569" t="s">
        <v>115</v>
      </c>
      <c r="S24" s="576"/>
      <c r="T24" s="649" t="s">
        <v>112</v>
      </c>
      <c r="U24" s="572">
        <v>22</v>
      </c>
      <c r="V24" s="573" t="s">
        <v>118</v>
      </c>
      <c r="W24" s="577"/>
      <c r="X24" s="580" t="s">
        <v>112</v>
      </c>
    </row>
    <row r="25" spans="1:24">
      <c r="A25" s="568">
        <v>23</v>
      </c>
      <c r="B25" s="569" t="s">
        <v>116</v>
      </c>
      <c r="C25" s="578"/>
      <c r="D25" s="678" t="s">
        <v>112</v>
      </c>
      <c r="E25" s="568">
        <v>23</v>
      </c>
      <c r="F25" s="569" t="s">
        <v>117</v>
      </c>
      <c r="G25" s="576"/>
      <c r="H25" s="571" t="s">
        <v>112</v>
      </c>
      <c r="I25" s="572">
        <v>23</v>
      </c>
      <c r="J25" s="573" t="s">
        <v>118</v>
      </c>
      <c r="K25" s="577"/>
      <c r="L25" s="580" t="s">
        <v>112</v>
      </c>
      <c r="M25" s="568">
        <v>23</v>
      </c>
      <c r="N25" s="569" t="s">
        <v>111</v>
      </c>
      <c r="O25" s="576"/>
      <c r="P25" s="571" t="s">
        <v>112</v>
      </c>
      <c r="Q25" s="568">
        <v>23</v>
      </c>
      <c r="R25" s="569" t="s">
        <v>117</v>
      </c>
      <c r="S25" s="576"/>
      <c r="T25" s="649" t="s">
        <v>112</v>
      </c>
      <c r="U25" s="568">
        <v>23</v>
      </c>
      <c r="V25" s="569" t="s">
        <v>114</v>
      </c>
      <c r="W25" s="576"/>
      <c r="X25" s="649">
        <v>4.1428571428571432</v>
      </c>
    </row>
    <row r="26" spans="1:24">
      <c r="A26" s="568">
        <v>24</v>
      </c>
      <c r="B26" s="569" t="s">
        <v>111</v>
      </c>
      <c r="C26" s="578"/>
      <c r="D26" s="678" t="s">
        <v>112</v>
      </c>
      <c r="E26" s="572">
        <v>24</v>
      </c>
      <c r="F26" s="573" t="s">
        <v>113</v>
      </c>
      <c r="G26" s="577"/>
      <c r="H26" s="575" t="s">
        <v>112</v>
      </c>
      <c r="I26" s="568">
        <v>24</v>
      </c>
      <c r="J26" s="569" t="s">
        <v>114</v>
      </c>
      <c r="K26" s="576"/>
      <c r="L26" s="649">
        <v>43.285714285714285</v>
      </c>
      <c r="M26" s="568">
        <v>24</v>
      </c>
      <c r="N26" s="569" t="s">
        <v>115</v>
      </c>
      <c r="O26" s="576"/>
      <c r="P26" s="571" t="s">
        <v>112</v>
      </c>
      <c r="Q26" s="572">
        <v>24</v>
      </c>
      <c r="R26" s="573" t="s">
        <v>113</v>
      </c>
      <c r="S26" s="577" t="s">
        <v>65</v>
      </c>
      <c r="T26" s="580" t="s">
        <v>112</v>
      </c>
      <c r="U26" s="568">
        <v>24</v>
      </c>
      <c r="V26" s="569" t="s">
        <v>116</v>
      </c>
      <c r="W26" s="576"/>
      <c r="X26" s="649" t="s">
        <v>112</v>
      </c>
    </row>
    <row r="27" spans="1:24">
      <c r="A27" s="568">
        <v>25</v>
      </c>
      <c r="B27" s="569" t="s">
        <v>115</v>
      </c>
      <c r="C27" s="578"/>
      <c r="D27" s="678" t="s">
        <v>112</v>
      </c>
      <c r="E27" s="572">
        <v>25</v>
      </c>
      <c r="F27" s="573" t="s">
        <v>118</v>
      </c>
      <c r="G27" s="577"/>
      <c r="H27" s="575" t="s">
        <v>112</v>
      </c>
      <c r="I27" s="568">
        <v>25</v>
      </c>
      <c r="J27" s="569" t="s">
        <v>116</v>
      </c>
      <c r="K27" s="576"/>
      <c r="L27" s="649" t="s">
        <v>112</v>
      </c>
      <c r="M27" s="568">
        <v>25</v>
      </c>
      <c r="N27" s="569" t="s">
        <v>117</v>
      </c>
      <c r="O27" s="576"/>
      <c r="P27" s="571" t="s">
        <v>112</v>
      </c>
      <c r="Q27" s="572">
        <v>25</v>
      </c>
      <c r="R27" s="573" t="s">
        <v>118</v>
      </c>
      <c r="S27" s="577" t="s">
        <v>95</v>
      </c>
      <c r="T27" s="580" t="s">
        <v>112</v>
      </c>
      <c r="U27" s="568">
        <v>25</v>
      </c>
      <c r="V27" s="569" t="s">
        <v>111</v>
      </c>
      <c r="W27" s="576"/>
      <c r="X27" s="649" t="s">
        <v>112</v>
      </c>
    </row>
    <row r="28" spans="1:24">
      <c r="A28" s="568">
        <v>26</v>
      </c>
      <c r="B28" s="569" t="s">
        <v>117</v>
      </c>
      <c r="C28" s="578"/>
      <c r="D28" s="678" t="s">
        <v>112</v>
      </c>
      <c r="E28" s="568">
        <v>26</v>
      </c>
      <c r="F28" s="569" t="s">
        <v>114</v>
      </c>
      <c r="G28" s="576"/>
      <c r="H28" s="571">
        <v>39.285714285714285</v>
      </c>
      <c r="I28" s="568">
        <v>26</v>
      </c>
      <c r="J28" s="569" t="s">
        <v>111</v>
      </c>
      <c r="K28" s="576"/>
      <c r="L28" s="649" t="s">
        <v>112</v>
      </c>
      <c r="M28" s="572">
        <v>26</v>
      </c>
      <c r="N28" s="573" t="s">
        <v>113</v>
      </c>
      <c r="O28" s="577"/>
      <c r="P28" s="575" t="s">
        <v>112</v>
      </c>
      <c r="Q28" s="568">
        <v>26</v>
      </c>
      <c r="R28" s="569" t="s">
        <v>114</v>
      </c>
      <c r="S28" s="576" t="s">
        <v>269</v>
      </c>
      <c r="T28" s="649">
        <v>52.285714285714285</v>
      </c>
      <c r="U28" s="568">
        <v>26</v>
      </c>
      <c r="V28" s="569" t="s">
        <v>115</v>
      </c>
      <c r="W28" s="576"/>
      <c r="X28" s="649" t="s">
        <v>112</v>
      </c>
    </row>
    <row r="29" spans="1:24">
      <c r="A29" s="572">
        <v>27</v>
      </c>
      <c r="B29" s="573" t="s">
        <v>113</v>
      </c>
      <c r="C29" s="579"/>
      <c r="D29" s="679" t="s">
        <v>112</v>
      </c>
      <c r="E29" s="568">
        <v>27</v>
      </c>
      <c r="F29" s="569" t="s">
        <v>116</v>
      </c>
      <c r="G29" s="576"/>
      <c r="H29" s="571" t="s">
        <v>112</v>
      </c>
      <c r="I29" s="568">
        <v>27</v>
      </c>
      <c r="J29" s="569" t="s">
        <v>115</v>
      </c>
      <c r="K29" s="576"/>
      <c r="L29" s="649" t="s">
        <v>112</v>
      </c>
      <c r="M29" s="572">
        <v>27</v>
      </c>
      <c r="N29" s="573" t="s">
        <v>118</v>
      </c>
      <c r="O29" s="577"/>
      <c r="P29" s="575" t="s">
        <v>112</v>
      </c>
      <c r="Q29" s="568">
        <v>27</v>
      </c>
      <c r="R29" s="569" t="s">
        <v>116</v>
      </c>
      <c r="S29" s="576"/>
      <c r="T29" s="649" t="s">
        <v>112</v>
      </c>
      <c r="U29" s="568">
        <v>27</v>
      </c>
      <c r="V29" s="569" t="s">
        <v>117</v>
      </c>
      <c r="W29" s="576"/>
      <c r="X29" s="649" t="s">
        <v>112</v>
      </c>
    </row>
    <row r="30" spans="1:24">
      <c r="A30" s="572">
        <v>28</v>
      </c>
      <c r="B30" s="573" t="s">
        <v>118</v>
      </c>
      <c r="C30" s="579"/>
      <c r="D30" s="679" t="s">
        <v>112</v>
      </c>
      <c r="E30" s="568">
        <v>28</v>
      </c>
      <c r="F30" s="569" t="s">
        <v>111</v>
      </c>
      <c r="G30" s="576"/>
      <c r="H30" s="571" t="s">
        <v>112</v>
      </c>
      <c r="I30" s="568">
        <v>28</v>
      </c>
      <c r="J30" s="569" t="s">
        <v>117</v>
      </c>
      <c r="K30" s="576"/>
      <c r="L30" s="649" t="s">
        <v>112</v>
      </c>
      <c r="M30" s="568">
        <v>28</v>
      </c>
      <c r="N30" s="569" t="s">
        <v>114</v>
      </c>
      <c r="O30" s="576"/>
      <c r="P30" s="571">
        <v>48.285714285714285</v>
      </c>
      <c r="Q30" s="568">
        <v>28</v>
      </c>
      <c r="R30" s="569" t="s">
        <v>111</v>
      </c>
      <c r="S30" s="576"/>
      <c r="T30" s="649" t="s">
        <v>112</v>
      </c>
      <c r="U30" s="572">
        <v>28</v>
      </c>
      <c r="V30" s="573" t="s">
        <v>113</v>
      </c>
      <c r="W30" s="577"/>
      <c r="X30" s="580" t="s">
        <v>112</v>
      </c>
    </row>
    <row r="31" spans="1:24">
      <c r="A31" s="568">
        <v>29</v>
      </c>
      <c r="B31" s="569" t="s">
        <v>114</v>
      </c>
      <c r="C31" s="578"/>
      <c r="D31" s="677">
        <v>35.285714285714285</v>
      </c>
      <c r="E31" s="568">
        <v>29</v>
      </c>
      <c r="F31" s="569" t="s">
        <v>115</v>
      </c>
      <c r="G31" s="576"/>
      <c r="H31" s="571" t="s">
        <v>112</v>
      </c>
      <c r="I31" s="572">
        <v>29</v>
      </c>
      <c r="J31" s="573" t="s">
        <v>113</v>
      </c>
      <c r="K31" s="577"/>
      <c r="L31" s="580" t="s">
        <v>112</v>
      </c>
      <c r="M31" s="568">
        <v>29</v>
      </c>
      <c r="N31" s="569" t="s">
        <v>116</v>
      </c>
      <c r="O31" s="576"/>
      <c r="P31" s="571" t="s">
        <v>112</v>
      </c>
      <c r="Q31" s="568">
        <v>29</v>
      </c>
      <c r="R31" s="569" t="s">
        <v>115</v>
      </c>
      <c r="S31" s="576"/>
      <c r="T31" s="649" t="s">
        <v>112</v>
      </c>
      <c r="U31" s="572">
        <v>29</v>
      </c>
      <c r="V31" s="573" t="s">
        <v>118</v>
      </c>
      <c r="W31" s="577"/>
      <c r="X31" s="580" t="s">
        <v>112</v>
      </c>
    </row>
    <row r="32" spans="1:24">
      <c r="A32" s="568">
        <v>30</v>
      </c>
      <c r="B32" s="569" t="s">
        <v>116</v>
      </c>
      <c r="C32" s="578"/>
      <c r="D32" s="677" t="s">
        <v>112</v>
      </c>
      <c r="E32" s="568">
        <v>30</v>
      </c>
      <c r="F32" s="569" t="s">
        <v>117</v>
      </c>
      <c r="G32" s="581"/>
      <c r="H32" s="571" t="s">
        <v>112</v>
      </c>
      <c r="I32" s="572">
        <v>30</v>
      </c>
      <c r="J32" s="573" t="s">
        <v>118</v>
      </c>
      <c r="K32" s="577"/>
      <c r="L32" s="580" t="s">
        <v>112</v>
      </c>
      <c r="M32" s="568">
        <v>30</v>
      </c>
      <c r="N32" s="569" t="s">
        <v>111</v>
      </c>
      <c r="O32" s="581"/>
      <c r="P32" s="571" t="s">
        <v>112</v>
      </c>
      <c r="Q32" s="568">
        <v>30</v>
      </c>
      <c r="R32" s="569" t="s">
        <v>117</v>
      </c>
      <c r="S32" s="576"/>
      <c r="T32" s="649">
        <v>0</v>
      </c>
      <c r="U32" s="568">
        <v>30</v>
      </c>
      <c r="V32" s="569" t="s">
        <v>114</v>
      </c>
      <c r="W32" s="576"/>
      <c r="X32" s="649">
        <v>5.1428571428571432</v>
      </c>
    </row>
    <row r="33" spans="1:24">
      <c r="A33" s="653">
        <v>31</v>
      </c>
      <c r="B33" s="654" t="s">
        <v>111</v>
      </c>
      <c r="C33" s="581"/>
      <c r="D33" s="655" t="s">
        <v>112</v>
      </c>
      <c r="E33" s="644"/>
      <c r="F33" s="645"/>
      <c r="G33" s="650"/>
      <c r="H33" s="656"/>
      <c r="I33" s="653">
        <v>31</v>
      </c>
      <c r="J33" s="654" t="s">
        <v>114</v>
      </c>
      <c r="K33" s="581"/>
      <c r="L33" s="661">
        <v>44.285714285714285</v>
      </c>
      <c r="M33" s="644"/>
      <c r="N33" s="645"/>
      <c r="O33" s="650"/>
      <c r="P33" s="660"/>
      <c r="Q33" s="657">
        <v>31</v>
      </c>
      <c r="R33" s="658" t="s">
        <v>113</v>
      </c>
      <c r="S33" s="652" t="s">
        <v>68</v>
      </c>
      <c r="T33" s="659" t="s">
        <v>112</v>
      </c>
      <c r="U33" s="653">
        <v>31</v>
      </c>
      <c r="V33" s="654" t="s">
        <v>116</v>
      </c>
      <c r="W33" s="581"/>
      <c r="X33" s="661" t="s">
        <v>112</v>
      </c>
    </row>
  </sheetData>
  <mergeCells count="1">
    <mergeCell ref="A1:X1"/>
  </mergeCells>
  <pageMargins left="0.7" right="0.7" top="0.75" bottom="0.75" header="0.3" footer="0.3"/>
  <pageSetup paperSize="9" scale="69"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39A6-232E-BC48-A7C1-65387010A74E}">
  <dimension ref="A1:X33"/>
  <sheetViews>
    <sheetView workbookViewId="0">
      <selection activeCell="A2" sqref="A2"/>
    </sheetView>
  </sheetViews>
  <sheetFormatPr baseColWidth="10" defaultRowHeight="16"/>
  <cols>
    <col min="1" max="2" width="3.140625" style="668" customWidth="1"/>
    <col min="3" max="3" width="16.140625" style="668" customWidth="1"/>
    <col min="4" max="6" width="3.140625" style="668" customWidth="1"/>
    <col min="7" max="7" width="16.140625" style="668" customWidth="1"/>
    <col min="8" max="10" width="3.140625" style="668" customWidth="1"/>
    <col min="11" max="11" width="16.140625" style="668" customWidth="1"/>
    <col min="12" max="14" width="3.140625" style="668" customWidth="1"/>
    <col min="15" max="15" width="16.140625" style="668" customWidth="1"/>
    <col min="16" max="18" width="3.140625" style="668" customWidth="1"/>
    <col min="19" max="19" width="16.140625" style="668" customWidth="1"/>
    <col min="20" max="22" width="3.140625" style="668" customWidth="1"/>
    <col min="23" max="23" width="16.140625" style="668" customWidth="1"/>
    <col min="24" max="24" width="3.140625" style="668" customWidth="1"/>
    <col min="25" max="16384" width="10.7109375" style="668"/>
  </cols>
  <sheetData>
    <row r="1" spans="1:24" ht="30">
      <c r="A1" s="998" t="str">
        <f>'TOMT ÅR'!A1</f>
        <v>ÅRSKALENDER  for  MIN EGEN DAGINSTITUTION  2022 - 2023</v>
      </c>
      <c r="B1" s="999"/>
      <c r="C1" s="999"/>
      <c r="D1" s="999"/>
      <c r="E1" s="999"/>
      <c r="F1" s="999"/>
      <c r="G1" s="999"/>
      <c r="H1" s="999"/>
      <c r="I1" s="999"/>
      <c r="J1" s="999"/>
      <c r="K1" s="999"/>
      <c r="L1" s="999"/>
      <c r="M1" s="999"/>
      <c r="N1" s="999"/>
      <c r="O1" s="999"/>
      <c r="P1" s="999"/>
      <c r="Q1" s="999"/>
      <c r="R1" s="999"/>
      <c r="S1" s="999"/>
      <c r="T1" s="999"/>
      <c r="U1" s="999"/>
      <c r="V1" s="999"/>
      <c r="W1" s="999"/>
      <c r="X1" s="1000"/>
    </row>
    <row r="2" spans="1:24" ht="18">
      <c r="A2" s="673" t="s">
        <v>50</v>
      </c>
      <c r="B2" s="670"/>
      <c r="C2" s="671"/>
      <c r="D2" s="672"/>
      <c r="E2" s="669" t="s">
        <v>51</v>
      </c>
      <c r="F2" s="670"/>
      <c r="G2" s="671"/>
      <c r="H2" s="672"/>
      <c r="I2" s="669" t="s">
        <v>52</v>
      </c>
      <c r="J2" s="670"/>
      <c r="K2" s="671"/>
      <c r="L2" s="672"/>
      <c r="M2" s="669" t="s">
        <v>53</v>
      </c>
      <c r="N2" s="670"/>
      <c r="O2" s="671"/>
      <c r="P2" s="672"/>
      <c r="Q2" s="669" t="s">
        <v>54</v>
      </c>
      <c r="R2" s="670"/>
      <c r="S2" s="671"/>
      <c r="T2" s="672"/>
      <c r="U2" s="669" t="s">
        <v>55</v>
      </c>
      <c r="V2" s="670"/>
      <c r="W2" s="671"/>
      <c r="X2" s="672"/>
    </row>
    <row r="3" spans="1:24">
      <c r="A3" s="568">
        <v>1</v>
      </c>
      <c r="B3" s="569" t="s">
        <v>111</v>
      </c>
      <c r="C3" s="570"/>
      <c r="D3" s="571" t="s">
        <v>112</v>
      </c>
      <c r="E3" s="644">
        <v>1</v>
      </c>
      <c r="F3" s="645" t="s">
        <v>111</v>
      </c>
      <c r="G3" s="570"/>
      <c r="H3" s="648" t="s">
        <v>112</v>
      </c>
      <c r="I3" s="572">
        <v>1</v>
      </c>
      <c r="J3" s="573" t="s">
        <v>113</v>
      </c>
      <c r="K3" s="574"/>
      <c r="L3" s="575" t="s">
        <v>112</v>
      </c>
      <c r="M3" s="644">
        <v>1</v>
      </c>
      <c r="N3" s="645" t="s">
        <v>114</v>
      </c>
      <c r="O3" s="570"/>
      <c r="P3" s="648">
        <v>18.142857142857142</v>
      </c>
      <c r="Q3" s="568">
        <v>1</v>
      </c>
      <c r="R3" s="569" t="s">
        <v>115</v>
      </c>
      <c r="S3" s="570"/>
      <c r="T3" s="571" t="s">
        <v>112</v>
      </c>
      <c r="U3" s="675">
        <v>1</v>
      </c>
      <c r="V3" s="676" t="s">
        <v>113</v>
      </c>
      <c r="W3" s="574"/>
      <c r="X3" s="662" t="s">
        <v>112</v>
      </c>
    </row>
    <row r="4" spans="1:24">
      <c r="A4" s="568">
        <v>2</v>
      </c>
      <c r="B4" s="569" t="s">
        <v>115</v>
      </c>
      <c r="C4" s="576"/>
      <c r="D4" s="571" t="s">
        <v>112</v>
      </c>
      <c r="E4" s="568">
        <v>2</v>
      </c>
      <c r="F4" s="569" t="s">
        <v>115</v>
      </c>
      <c r="G4" s="576"/>
      <c r="H4" s="649" t="s">
        <v>112</v>
      </c>
      <c r="I4" s="572">
        <v>2</v>
      </c>
      <c r="J4" s="573" t="s">
        <v>118</v>
      </c>
      <c r="K4" s="577" t="s">
        <v>201</v>
      </c>
      <c r="L4" s="575" t="s">
        <v>112</v>
      </c>
      <c r="M4" s="568">
        <v>2</v>
      </c>
      <c r="N4" s="569" t="s">
        <v>116</v>
      </c>
      <c r="O4" s="576"/>
      <c r="P4" s="649" t="s">
        <v>112</v>
      </c>
      <c r="Q4" s="568">
        <v>2</v>
      </c>
      <c r="R4" s="569" t="s">
        <v>117</v>
      </c>
      <c r="S4" s="576"/>
      <c r="T4" s="571" t="s">
        <v>112</v>
      </c>
      <c r="U4" s="572">
        <v>2</v>
      </c>
      <c r="V4" s="573" t="s">
        <v>118</v>
      </c>
      <c r="W4" s="577"/>
      <c r="X4" s="580" t="s">
        <v>112</v>
      </c>
    </row>
    <row r="5" spans="1:24">
      <c r="A5" s="568">
        <v>3</v>
      </c>
      <c r="B5" s="569" t="s">
        <v>117</v>
      </c>
      <c r="C5" s="576"/>
      <c r="D5" s="571" t="s">
        <v>112</v>
      </c>
      <c r="E5" s="568">
        <v>3</v>
      </c>
      <c r="F5" s="569" t="s">
        <v>117</v>
      </c>
      <c r="G5" s="576"/>
      <c r="H5" s="649" t="s">
        <v>112</v>
      </c>
      <c r="I5" s="568">
        <v>3</v>
      </c>
      <c r="J5" s="569" t="s">
        <v>114</v>
      </c>
      <c r="K5" s="576"/>
      <c r="L5" s="571">
        <v>14.142857142857142</v>
      </c>
      <c r="M5" s="568">
        <v>3</v>
      </c>
      <c r="N5" s="569" t="s">
        <v>111</v>
      </c>
      <c r="O5" s="576"/>
      <c r="P5" s="649" t="s">
        <v>112</v>
      </c>
      <c r="Q5" s="572">
        <v>3</v>
      </c>
      <c r="R5" s="573" t="s">
        <v>113</v>
      </c>
      <c r="S5" s="577"/>
      <c r="T5" s="575" t="s">
        <v>112</v>
      </c>
      <c r="U5" s="568">
        <v>3</v>
      </c>
      <c r="V5" s="569" t="s">
        <v>114</v>
      </c>
      <c r="W5" s="576"/>
      <c r="X5" s="649">
        <v>27.142857142857142</v>
      </c>
    </row>
    <row r="6" spans="1:24">
      <c r="A6" s="572">
        <v>4</v>
      </c>
      <c r="B6" s="573" t="s">
        <v>113</v>
      </c>
      <c r="C6" s="577"/>
      <c r="D6" s="575" t="s">
        <v>112</v>
      </c>
      <c r="E6" s="572">
        <v>4</v>
      </c>
      <c r="F6" s="573" t="s">
        <v>113</v>
      </c>
      <c r="G6" s="577"/>
      <c r="H6" s="580" t="s">
        <v>112</v>
      </c>
      <c r="I6" s="568">
        <v>4</v>
      </c>
      <c r="J6" s="569" t="s">
        <v>116</v>
      </c>
      <c r="K6" s="576"/>
      <c r="L6" s="571" t="s">
        <v>112</v>
      </c>
      <c r="M6" s="568">
        <v>4</v>
      </c>
      <c r="N6" s="569" t="s">
        <v>115</v>
      </c>
      <c r="O6" s="576"/>
      <c r="P6" s="649" t="s">
        <v>112</v>
      </c>
      <c r="Q6" s="572">
        <v>4</v>
      </c>
      <c r="R6" s="573" t="s">
        <v>118</v>
      </c>
      <c r="S6" s="577"/>
      <c r="T6" s="575" t="s">
        <v>112</v>
      </c>
      <c r="U6" s="568">
        <v>4</v>
      </c>
      <c r="V6" s="569" t="s">
        <v>116</v>
      </c>
      <c r="W6" s="576"/>
      <c r="X6" s="649" t="s">
        <v>112</v>
      </c>
    </row>
    <row r="7" spans="1:24">
      <c r="A7" s="572">
        <v>5</v>
      </c>
      <c r="B7" s="573" t="s">
        <v>118</v>
      </c>
      <c r="C7" s="577"/>
      <c r="D7" s="575" t="s">
        <v>112</v>
      </c>
      <c r="E7" s="572">
        <v>5</v>
      </c>
      <c r="F7" s="573" t="s">
        <v>118</v>
      </c>
      <c r="G7" s="577"/>
      <c r="H7" s="580" t="s">
        <v>112</v>
      </c>
      <c r="I7" s="568">
        <v>5</v>
      </c>
      <c r="J7" s="569" t="s">
        <v>111</v>
      </c>
      <c r="K7" s="576"/>
      <c r="L7" s="571" t="s">
        <v>112</v>
      </c>
      <c r="M7" s="568">
        <v>5</v>
      </c>
      <c r="N7" s="569" t="s">
        <v>117</v>
      </c>
      <c r="O7" s="576" t="s">
        <v>94</v>
      </c>
      <c r="P7" s="649" t="s">
        <v>112</v>
      </c>
      <c r="Q7" s="568">
        <v>5</v>
      </c>
      <c r="R7" s="569" t="s">
        <v>114</v>
      </c>
      <c r="S7" s="576" t="s">
        <v>264</v>
      </c>
      <c r="T7" s="571">
        <v>23.142857142857142</v>
      </c>
      <c r="U7" s="568">
        <v>5</v>
      </c>
      <c r="V7" s="569" t="s">
        <v>111</v>
      </c>
      <c r="W7" s="576"/>
      <c r="X7" s="649" t="s">
        <v>112</v>
      </c>
    </row>
    <row r="8" spans="1:24">
      <c r="A8" s="568">
        <v>6</v>
      </c>
      <c r="B8" s="569" t="s">
        <v>114</v>
      </c>
      <c r="C8" s="576"/>
      <c r="D8" s="571">
        <v>6.1428571428571432</v>
      </c>
      <c r="E8" s="568">
        <v>6</v>
      </c>
      <c r="F8" s="569" t="s">
        <v>114</v>
      </c>
      <c r="G8" s="576"/>
      <c r="H8" s="649">
        <v>10.142857142857142</v>
      </c>
      <c r="I8" s="568">
        <v>6</v>
      </c>
      <c r="J8" s="569" t="s">
        <v>115</v>
      </c>
      <c r="K8" s="576" t="s">
        <v>61</v>
      </c>
      <c r="L8" s="571" t="s">
        <v>112</v>
      </c>
      <c r="M8" s="572">
        <v>6</v>
      </c>
      <c r="N8" s="573" t="s">
        <v>113</v>
      </c>
      <c r="O8" s="577"/>
      <c r="P8" s="580" t="s">
        <v>112</v>
      </c>
      <c r="Q8" s="568">
        <v>6</v>
      </c>
      <c r="R8" s="569" t="s">
        <v>116</v>
      </c>
      <c r="S8" s="576"/>
      <c r="T8" s="571" t="s">
        <v>112</v>
      </c>
      <c r="U8" s="568">
        <v>6</v>
      </c>
      <c r="V8" s="569" t="s">
        <v>115</v>
      </c>
      <c r="W8" s="576"/>
      <c r="X8" s="649" t="s">
        <v>112</v>
      </c>
    </row>
    <row r="9" spans="1:24">
      <c r="A9" s="568">
        <v>7</v>
      </c>
      <c r="B9" s="569" t="s">
        <v>116</v>
      </c>
      <c r="C9" s="576"/>
      <c r="D9" s="571" t="s">
        <v>112</v>
      </c>
      <c r="E9" s="568">
        <v>7</v>
      </c>
      <c r="F9" s="569" t="s">
        <v>116</v>
      </c>
      <c r="G9" s="576"/>
      <c r="H9" s="649" t="s">
        <v>112</v>
      </c>
      <c r="I9" s="568">
        <v>7</v>
      </c>
      <c r="J9" s="569" t="s">
        <v>117</v>
      </c>
      <c r="K9" s="576" t="s">
        <v>94</v>
      </c>
      <c r="L9" s="571" t="s">
        <v>112</v>
      </c>
      <c r="M9" s="572">
        <v>7</v>
      </c>
      <c r="N9" s="573" t="s">
        <v>118</v>
      </c>
      <c r="O9" s="577"/>
      <c r="P9" s="580" t="s">
        <v>112</v>
      </c>
      <c r="Q9" s="568">
        <v>7</v>
      </c>
      <c r="R9" s="569" t="s">
        <v>111</v>
      </c>
      <c r="S9" s="576"/>
      <c r="T9" s="571" t="s">
        <v>112</v>
      </c>
      <c r="U9" s="568">
        <v>7</v>
      </c>
      <c r="V9" s="569" t="s">
        <v>117</v>
      </c>
      <c r="W9" s="576"/>
      <c r="X9" s="649" t="s">
        <v>112</v>
      </c>
    </row>
    <row r="10" spans="1:24">
      <c r="A10" s="568">
        <v>8</v>
      </c>
      <c r="B10" s="569" t="s">
        <v>111</v>
      </c>
      <c r="C10" s="576"/>
      <c r="D10" s="571" t="s">
        <v>112</v>
      </c>
      <c r="E10" s="568">
        <v>8</v>
      </c>
      <c r="F10" s="569" t="s">
        <v>111</v>
      </c>
      <c r="G10" s="576"/>
      <c r="H10" s="649" t="s">
        <v>112</v>
      </c>
      <c r="I10" s="572">
        <v>8</v>
      </c>
      <c r="J10" s="573" t="s">
        <v>113</v>
      </c>
      <c r="K10" s="577"/>
      <c r="L10" s="575" t="s">
        <v>112</v>
      </c>
      <c r="M10" s="568">
        <v>8</v>
      </c>
      <c r="N10" s="569" t="s">
        <v>114</v>
      </c>
      <c r="O10" s="576"/>
      <c r="P10" s="649">
        <v>19.142857142857142</v>
      </c>
      <c r="Q10" s="568">
        <v>8</v>
      </c>
      <c r="R10" s="569" t="s">
        <v>115</v>
      </c>
      <c r="S10" s="576"/>
      <c r="T10" s="571" t="s">
        <v>112</v>
      </c>
      <c r="U10" s="572">
        <v>8</v>
      </c>
      <c r="V10" s="573" t="s">
        <v>113</v>
      </c>
      <c r="W10" s="577"/>
      <c r="X10" s="580" t="s">
        <v>112</v>
      </c>
    </row>
    <row r="11" spans="1:24">
      <c r="A11" s="568">
        <v>9</v>
      </c>
      <c r="B11" s="569" t="s">
        <v>115</v>
      </c>
      <c r="C11" s="576"/>
      <c r="D11" s="571" t="s">
        <v>112</v>
      </c>
      <c r="E11" s="568">
        <v>9</v>
      </c>
      <c r="F11" s="569" t="s">
        <v>115</v>
      </c>
      <c r="G11" s="576"/>
      <c r="H11" s="649" t="s">
        <v>112</v>
      </c>
      <c r="I11" s="572">
        <v>9</v>
      </c>
      <c r="J11" s="573" t="s">
        <v>118</v>
      </c>
      <c r="K11" s="577" t="s">
        <v>192</v>
      </c>
      <c r="L11" s="575" t="s">
        <v>112</v>
      </c>
      <c r="M11" s="568">
        <v>9</v>
      </c>
      <c r="N11" s="569" t="s">
        <v>116</v>
      </c>
      <c r="O11" s="576"/>
      <c r="P11" s="649" t="s">
        <v>112</v>
      </c>
      <c r="Q11" s="568">
        <v>9</v>
      </c>
      <c r="R11" s="569" t="s">
        <v>117</v>
      </c>
      <c r="S11" s="576"/>
      <c r="T11" s="571" t="s">
        <v>112</v>
      </c>
      <c r="U11" s="572">
        <v>9</v>
      </c>
      <c r="V11" s="573" t="s">
        <v>118</v>
      </c>
      <c r="W11" s="577"/>
      <c r="X11" s="580" t="s">
        <v>112</v>
      </c>
    </row>
    <row r="12" spans="1:24">
      <c r="A12" s="568">
        <v>10</v>
      </c>
      <c r="B12" s="569" t="s">
        <v>117</v>
      </c>
      <c r="C12" s="576"/>
      <c r="D12" s="571" t="s">
        <v>112</v>
      </c>
      <c r="E12" s="568">
        <v>10</v>
      </c>
      <c r="F12" s="569" t="s">
        <v>117</v>
      </c>
      <c r="G12" s="576"/>
      <c r="H12" s="649" t="s">
        <v>112</v>
      </c>
      <c r="I12" s="568">
        <v>10</v>
      </c>
      <c r="J12" s="569" t="s">
        <v>114</v>
      </c>
      <c r="K12" s="576" t="s">
        <v>267</v>
      </c>
      <c r="L12" s="571">
        <v>15.142857142857142</v>
      </c>
      <c r="M12" s="568">
        <v>10</v>
      </c>
      <c r="N12" s="569" t="s">
        <v>111</v>
      </c>
      <c r="O12" s="576"/>
      <c r="P12" s="649" t="s">
        <v>112</v>
      </c>
      <c r="Q12" s="572">
        <v>10</v>
      </c>
      <c r="R12" s="573" t="s">
        <v>113</v>
      </c>
      <c r="S12" s="577"/>
      <c r="T12" s="575" t="s">
        <v>112</v>
      </c>
      <c r="U12" s="568">
        <v>10</v>
      </c>
      <c r="V12" s="569" t="s">
        <v>114</v>
      </c>
      <c r="W12" s="576"/>
      <c r="X12" s="649">
        <v>28.142857142857142</v>
      </c>
    </row>
    <row r="13" spans="1:24">
      <c r="A13" s="572">
        <v>11</v>
      </c>
      <c r="B13" s="573" t="s">
        <v>113</v>
      </c>
      <c r="C13" s="577"/>
      <c r="D13" s="575" t="s">
        <v>112</v>
      </c>
      <c r="E13" s="572">
        <v>11</v>
      </c>
      <c r="F13" s="573" t="s">
        <v>113</v>
      </c>
      <c r="G13" s="577"/>
      <c r="H13" s="580" t="s">
        <v>112</v>
      </c>
      <c r="I13" s="568">
        <v>11</v>
      </c>
      <c r="J13" s="569" t="s">
        <v>116</v>
      </c>
      <c r="K13" s="576"/>
      <c r="L13" s="571" t="s">
        <v>112</v>
      </c>
      <c r="M13" s="568">
        <v>11</v>
      </c>
      <c r="N13" s="569" t="s">
        <v>115</v>
      </c>
      <c r="O13" s="576"/>
      <c r="P13" s="649" t="s">
        <v>112</v>
      </c>
      <c r="Q13" s="572">
        <v>11</v>
      </c>
      <c r="R13" s="573" t="s">
        <v>118</v>
      </c>
      <c r="S13" s="577"/>
      <c r="T13" s="575" t="s">
        <v>112</v>
      </c>
      <c r="U13" s="568">
        <v>11</v>
      </c>
      <c r="V13" s="569" t="s">
        <v>116</v>
      </c>
      <c r="W13" s="576"/>
      <c r="X13" s="649" t="s">
        <v>112</v>
      </c>
    </row>
    <row r="14" spans="1:24">
      <c r="A14" s="572">
        <v>12</v>
      </c>
      <c r="B14" s="573" t="s">
        <v>118</v>
      </c>
      <c r="C14" s="577"/>
      <c r="D14" s="575" t="s">
        <v>112</v>
      </c>
      <c r="E14" s="572">
        <v>12</v>
      </c>
      <c r="F14" s="573" t="s">
        <v>118</v>
      </c>
      <c r="G14" s="577"/>
      <c r="H14" s="580" t="s">
        <v>112</v>
      </c>
      <c r="I14" s="568">
        <v>12</v>
      </c>
      <c r="J14" s="569" t="s">
        <v>111</v>
      </c>
      <c r="K14" s="576"/>
      <c r="L14" s="571" t="s">
        <v>112</v>
      </c>
      <c r="M14" s="568">
        <v>12</v>
      </c>
      <c r="N14" s="569" t="s">
        <v>117</v>
      </c>
      <c r="O14" s="576"/>
      <c r="P14" s="649" t="s">
        <v>112</v>
      </c>
      <c r="Q14" s="568">
        <v>12</v>
      </c>
      <c r="R14" s="569" t="s">
        <v>114</v>
      </c>
      <c r="S14" s="576"/>
      <c r="T14" s="571">
        <v>24.142857142857142</v>
      </c>
      <c r="U14" s="568">
        <v>12</v>
      </c>
      <c r="V14" s="569" t="s">
        <v>111</v>
      </c>
      <c r="W14" s="576"/>
      <c r="X14" s="649" t="s">
        <v>112</v>
      </c>
    </row>
    <row r="15" spans="1:24">
      <c r="A15" s="568">
        <v>13</v>
      </c>
      <c r="B15" s="569" t="s">
        <v>114</v>
      </c>
      <c r="C15" s="576"/>
      <c r="D15" s="571">
        <v>7.1428571428571432</v>
      </c>
      <c r="E15" s="568">
        <v>13</v>
      </c>
      <c r="F15" s="569" t="s">
        <v>114</v>
      </c>
      <c r="G15" s="576"/>
      <c r="H15" s="649">
        <v>11.142857142857142</v>
      </c>
      <c r="I15" s="568">
        <v>13</v>
      </c>
      <c r="J15" s="569" t="s">
        <v>115</v>
      </c>
      <c r="K15" s="576"/>
      <c r="L15" s="571" t="s">
        <v>112</v>
      </c>
      <c r="M15" s="572">
        <v>13</v>
      </c>
      <c r="N15" s="573" t="s">
        <v>113</v>
      </c>
      <c r="O15" s="577"/>
      <c r="P15" s="580" t="s">
        <v>112</v>
      </c>
      <c r="Q15" s="568">
        <v>13</v>
      </c>
      <c r="R15" s="569" t="s">
        <v>116</v>
      </c>
      <c r="S15" s="576"/>
      <c r="T15" s="571" t="s">
        <v>112</v>
      </c>
      <c r="U15" s="568">
        <v>13</v>
      </c>
      <c r="V15" s="569" t="s">
        <v>115</v>
      </c>
      <c r="W15" s="576"/>
      <c r="X15" s="649" t="s">
        <v>112</v>
      </c>
    </row>
    <row r="16" spans="1:24">
      <c r="A16" s="568">
        <v>14</v>
      </c>
      <c r="B16" s="569" t="s">
        <v>116</v>
      </c>
      <c r="C16" s="576"/>
      <c r="D16" s="571" t="s">
        <v>112</v>
      </c>
      <c r="E16" s="568">
        <v>14</v>
      </c>
      <c r="F16" s="569" t="s">
        <v>116</v>
      </c>
      <c r="G16" s="576"/>
      <c r="H16" s="649" t="s">
        <v>112</v>
      </c>
      <c r="I16" s="568">
        <v>14</v>
      </c>
      <c r="J16" s="569" t="s">
        <v>117</v>
      </c>
      <c r="K16" s="576"/>
      <c r="L16" s="571" t="s">
        <v>112</v>
      </c>
      <c r="M16" s="572">
        <v>14</v>
      </c>
      <c r="N16" s="573" t="s">
        <v>118</v>
      </c>
      <c r="O16" s="577"/>
      <c r="P16" s="580" t="s">
        <v>112</v>
      </c>
      <c r="Q16" s="568">
        <v>14</v>
      </c>
      <c r="R16" s="569" t="s">
        <v>111</v>
      </c>
      <c r="S16" s="576"/>
      <c r="T16" s="571" t="s">
        <v>112</v>
      </c>
      <c r="U16" s="568">
        <v>14</v>
      </c>
      <c r="V16" s="569" t="s">
        <v>117</v>
      </c>
      <c r="W16" s="576"/>
      <c r="X16" s="649" t="s">
        <v>112</v>
      </c>
    </row>
    <row r="17" spans="1:24">
      <c r="A17" s="568">
        <v>15</v>
      </c>
      <c r="B17" s="569" t="s">
        <v>111</v>
      </c>
      <c r="C17" s="576"/>
      <c r="D17" s="571" t="s">
        <v>112</v>
      </c>
      <c r="E17" s="568">
        <v>15</v>
      </c>
      <c r="F17" s="569" t="s">
        <v>111</v>
      </c>
      <c r="G17" s="576"/>
      <c r="H17" s="649" t="s">
        <v>112</v>
      </c>
      <c r="I17" s="572">
        <v>15</v>
      </c>
      <c r="J17" s="573" t="s">
        <v>113</v>
      </c>
      <c r="K17" s="577"/>
      <c r="L17" s="575" t="s">
        <v>112</v>
      </c>
      <c r="M17" s="568">
        <v>15</v>
      </c>
      <c r="N17" s="569" t="s">
        <v>114</v>
      </c>
      <c r="O17" s="576"/>
      <c r="P17" s="649">
        <v>20.142857142857142</v>
      </c>
      <c r="Q17" s="568">
        <v>15</v>
      </c>
      <c r="R17" s="569" t="s">
        <v>115</v>
      </c>
      <c r="S17" s="576"/>
      <c r="T17" s="571" t="s">
        <v>112</v>
      </c>
      <c r="U17" s="572">
        <v>15</v>
      </c>
      <c r="V17" s="573" t="s">
        <v>113</v>
      </c>
      <c r="W17" s="577"/>
      <c r="X17" s="580" t="s">
        <v>112</v>
      </c>
    </row>
    <row r="18" spans="1:24">
      <c r="A18" s="568">
        <v>16</v>
      </c>
      <c r="B18" s="569" t="s">
        <v>115</v>
      </c>
      <c r="C18" s="576"/>
      <c r="D18" s="571" t="s">
        <v>112</v>
      </c>
      <c r="E18" s="568">
        <v>16</v>
      </c>
      <c r="F18" s="569" t="s">
        <v>115</v>
      </c>
      <c r="G18" s="576"/>
      <c r="H18" s="649" t="s">
        <v>112</v>
      </c>
      <c r="I18" s="572">
        <v>16</v>
      </c>
      <c r="J18" s="573" t="s">
        <v>118</v>
      </c>
      <c r="K18" s="577"/>
      <c r="L18" s="575" t="s">
        <v>112</v>
      </c>
      <c r="M18" s="568">
        <v>16</v>
      </c>
      <c r="N18" s="569" t="s">
        <v>116</v>
      </c>
      <c r="O18" s="576"/>
      <c r="P18" s="649" t="s">
        <v>112</v>
      </c>
      <c r="Q18" s="568">
        <v>16</v>
      </c>
      <c r="R18" s="569" t="s">
        <v>117</v>
      </c>
      <c r="S18" s="576"/>
      <c r="T18" s="571" t="s">
        <v>112</v>
      </c>
      <c r="U18" s="572">
        <v>16</v>
      </c>
      <c r="V18" s="573" t="s">
        <v>118</v>
      </c>
      <c r="W18" s="577"/>
      <c r="X18" s="580" t="s">
        <v>112</v>
      </c>
    </row>
    <row r="19" spans="1:24">
      <c r="A19" s="568">
        <v>17</v>
      </c>
      <c r="B19" s="569" t="s">
        <v>117</v>
      </c>
      <c r="C19" s="576"/>
      <c r="D19" s="571" t="s">
        <v>112</v>
      </c>
      <c r="E19" s="568">
        <v>17</v>
      </c>
      <c r="F19" s="569" t="s">
        <v>117</v>
      </c>
      <c r="G19" s="576"/>
      <c r="H19" s="649" t="s">
        <v>112</v>
      </c>
      <c r="I19" s="568">
        <v>17</v>
      </c>
      <c r="J19" s="569" t="s">
        <v>114</v>
      </c>
      <c r="K19" s="576"/>
      <c r="L19" s="571">
        <v>16.142857142857142</v>
      </c>
      <c r="M19" s="568">
        <v>17</v>
      </c>
      <c r="N19" s="569" t="s">
        <v>111</v>
      </c>
      <c r="O19" s="576"/>
      <c r="P19" s="649" t="s">
        <v>112</v>
      </c>
      <c r="Q19" s="572">
        <v>17</v>
      </c>
      <c r="R19" s="573" t="s">
        <v>113</v>
      </c>
      <c r="S19" s="577"/>
      <c r="T19" s="575" t="s">
        <v>112</v>
      </c>
      <c r="U19" s="568">
        <v>17</v>
      </c>
      <c r="V19" s="569" t="s">
        <v>114</v>
      </c>
      <c r="W19" s="576"/>
      <c r="X19" s="649">
        <v>29.142857142857142</v>
      </c>
    </row>
    <row r="20" spans="1:24">
      <c r="A20" s="572">
        <v>18</v>
      </c>
      <c r="B20" s="573" t="s">
        <v>113</v>
      </c>
      <c r="C20" s="577"/>
      <c r="D20" s="575" t="s">
        <v>112</v>
      </c>
      <c r="E20" s="572">
        <v>18</v>
      </c>
      <c r="F20" s="573" t="s">
        <v>113</v>
      </c>
      <c r="G20" s="577"/>
      <c r="H20" s="580" t="s">
        <v>112</v>
      </c>
      <c r="I20" s="568">
        <v>18</v>
      </c>
      <c r="J20" s="569" t="s">
        <v>116</v>
      </c>
      <c r="K20" s="576"/>
      <c r="L20" s="571" t="s">
        <v>112</v>
      </c>
      <c r="M20" s="568">
        <v>18</v>
      </c>
      <c r="N20" s="569" t="s">
        <v>115</v>
      </c>
      <c r="O20" s="1001" t="s">
        <v>268</v>
      </c>
      <c r="P20" s="1002"/>
      <c r="Q20" s="572">
        <v>18</v>
      </c>
      <c r="R20" s="573" t="s">
        <v>118</v>
      </c>
      <c r="S20" s="577"/>
      <c r="T20" s="575" t="s">
        <v>112</v>
      </c>
      <c r="U20" s="568">
        <v>18</v>
      </c>
      <c r="V20" s="569" t="s">
        <v>116</v>
      </c>
      <c r="W20" s="576"/>
      <c r="X20" s="649" t="s">
        <v>112</v>
      </c>
    </row>
    <row r="21" spans="1:24">
      <c r="A21" s="572">
        <v>19</v>
      </c>
      <c r="B21" s="573" t="s">
        <v>118</v>
      </c>
      <c r="C21" s="577"/>
      <c r="D21" s="575" t="s">
        <v>112</v>
      </c>
      <c r="E21" s="572">
        <v>19</v>
      </c>
      <c r="F21" s="573" t="s">
        <v>118</v>
      </c>
      <c r="G21" s="577"/>
      <c r="H21" s="580" t="s">
        <v>112</v>
      </c>
      <c r="I21" s="568">
        <v>19</v>
      </c>
      <c r="J21" s="569" t="s">
        <v>111</v>
      </c>
      <c r="K21" s="576"/>
      <c r="L21" s="571" t="s">
        <v>112</v>
      </c>
      <c r="M21" s="568">
        <v>19</v>
      </c>
      <c r="N21" s="569" t="s">
        <v>117</v>
      </c>
      <c r="O21" s="576"/>
      <c r="P21" s="649" t="s">
        <v>112</v>
      </c>
      <c r="Q21" s="568">
        <v>19</v>
      </c>
      <c r="R21" s="569" t="s">
        <v>114</v>
      </c>
      <c r="S21" s="576"/>
      <c r="T21" s="571">
        <v>25.142857142857142</v>
      </c>
      <c r="U21" s="568">
        <v>19</v>
      </c>
      <c r="V21" s="569" t="s">
        <v>111</v>
      </c>
      <c r="W21" s="576"/>
      <c r="X21" s="649" t="s">
        <v>112</v>
      </c>
    </row>
    <row r="22" spans="1:24">
      <c r="A22" s="568">
        <v>20</v>
      </c>
      <c r="B22" s="569" t="s">
        <v>114</v>
      </c>
      <c r="C22" s="576"/>
      <c r="D22" s="571">
        <v>8.1428571428571423</v>
      </c>
      <c r="E22" s="568">
        <v>20</v>
      </c>
      <c r="F22" s="569" t="s">
        <v>114</v>
      </c>
      <c r="G22" s="576"/>
      <c r="H22" s="649">
        <v>12.142857142857142</v>
      </c>
      <c r="I22" s="568">
        <v>20</v>
      </c>
      <c r="J22" s="569" t="s">
        <v>115</v>
      </c>
      <c r="K22" s="576"/>
      <c r="L22" s="571" t="s">
        <v>112</v>
      </c>
      <c r="M22" s="572">
        <v>20</v>
      </c>
      <c r="N22" s="573" t="s">
        <v>113</v>
      </c>
      <c r="O22" s="577"/>
      <c r="P22" s="580" t="s">
        <v>112</v>
      </c>
      <c r="Q22" s="568">
        <v>20</v>
      </c>
      <c r="R22" s="569" t="s">
        <v>116</v>
      </c>
      <c r="S22" s="576"/>
      <c r="T22" s="571" t="s">
        <v>112</v>
      </c>
      <c r="U22" s="568">
        <v>20</v>
      </c>
      <c r="V22" s="569" t="s">
        <v>115</v>
      </c>
      <c r="W22" s="576"/>
      <c r="X22" s="649" t="s">
        <v>112</v>
      </c>
    </row>
    <row r="23" spans="1:24">
      <c r="A23" s="568">
        <v>21</v>
      </c>
      <c r="B23" s="569" t="s">
        <v>116</v>
      </c>
      <c r="C23" s="576"/>
      <c r="D23" s="571" t="s">
        <v>112</v>
      </c>
      <c r="E23" s="568">
        <v>21</v>
      </c>
      <c r="F23" s="569" t="s">
        <v>116</v>
      </c>
      <c r="G23" s="576"/>
      <c r="H23" s="649" t="s">
        <v>112</v>
      </c>
      <c r="I23" s="568">
        <v>21</v>
      </c>
      <c r="J23" s="569" t="s">
        <v>117</v>
      </c>
      <c r="K23" s="576"/>
      <c r="L23" s="571" t="s">
        <v>112</v>
      </c>
      <c r="M23" s="572">
        <v>21</v>
      </c>
      <c r="N23" s="573" t="s">
        <v>118</v>
      </c>
      <c r="O23" s="577"/>
      <c r="P23" s="580" t="s">
        <v>112</v>
      </c>
      <c r="Q23" s="568">
        <v>21</v>
      </c>
      <c r="R23" s="569" t="s">
        <v>111</v>
      </c>
      <c r="S23" s="576"/>
      <c r="T23" s="571" t="s">
        <v>112</v>
      </c>
      <c r="U23" s="568">
        <v>21</v>
      </c>
      <c r="V23" s="569" t="s">
        <v>117</v>
      </c>
      <c r="W23" s="576"/>
      <c r="X23" s="649" t="s">
        <v>112</v>
      </c>
    </row>
    <row r="24" spans="1:24">
      <c r="A24" s="568">
        <v>22</v>
      </c>
      <c r="B24" s="569" t="s">
        <v>111</v>
      </c>
      <c r="C24" s="576"/>
      <c r="D24" s="571" t="s">
        <v>112</v>
      </c>
      <c r="E24" s="568">
        <v>22</v>
      </c>
      <c r="F24" s="569" t="s">
        <v>111</v>
      </c>
      <c r="G24" s="576"/>
      <c r="H24" s="649" t="s">
        <v>112</v>
      </c>
      <c r="I24" s="572">
        <v>22</v>
      </c>
      <c r="J24" s="573" t="s">
        <v>113</v>
      </c>
      <c r="K24" s="577"/>
      <c r="L24" s="575" t="s">
        <v>112</v>
      </c>
      <c r="M24" s="568">
        <v>22</v>
      </c>
      <c r="N24" s="569" t="s">
        <v>114</v>
      </c>
      <c r="O24" s="576"/>
      <c r="P24" s="649">
        <v>21.142857142857142</v>
      </c>
      <c r="Q24" s="568">
        <v>22</v>
      </c>
      <c r="R24" s="569" t="s">
        <v>115</v>
      </c>
      <c r="S24" s="576"/>
      <c r="T24" s="571" t="s">
        <v>112</v>
      </c>
      <c r="U24" s="572">
        <v>22</v>
      </c>
      <c r="V24" s="573" t="s">
        <v>113</v>
      </c>
      <c r="W24" s="577"/>
      <c r="X24" s="580" t="s">
        <v>112</v>
      </c>
    </row>
    <row r="25" spans="1:24">
      <c r="A25" s="568">
        <v>23</v>
      </c>
      <c r="B25" s="569" t="s">
        <v>115</v>
      </c>
      <c r="C25" s="576"/>
      <c r="D25" s="571" t="s">
        <v>112</v>
      </c>
      <c r="E25" s="568">
        <v>23</v>
      </c>
      <c r="F25" s="569" t="s">
        <v>115</v>
      </c>
      <c r="G25" s="576"/>
      <c r="H25" s="649" t="s">
        <v>112</v>
      </c>
      <c r="I25" s="572">
        <v>23</v>
      </c>
      <c r="J25" s="573" t="s">
        <v>118</v>
      </c>
      <c r="K25" s="577"/>
      <c r="L25" s="575" t="s">
        <v>112</v>
      </c>
      <c r="M25" s="568">
        <v>23</v>
      </c>
      <c r="N25" s="569" t="s">
        <v>116</v>
      </c>
      <c r="O25" s="576"/>
      <c r="P25" s="649" t="s">
        <v>112</v>
      </c>
      <c r="Q25" s="568">
        <v>23</v>
      </c>
      <c r="R25" s="569" t="s">
        <v>117</v>
      </c>
      <c r="S25" s="576"/>
      <c r="T25" s="571" t="s">
        <v>112</v>
      </c>
      <c r="U25" s="572">
        <v>23</v>
      </c>
      <c r="V25" s="573" t="s">
        <v>118</v>
      </c>
      <c r="W25" s="577"/>
      <c r="X25" s="580" t="s">
        <v>112</v>
      </c>
    </row>
    <row r="26" spans="1:24">
      <c r="A26" s="568">
        <v>24</v>
      </c>
      <c r="B26" s="569" t="s">
        <v>117</v>
      </c>
      <c r="C26" s="576"/>
      <c r="D26" s="571" t="s">
        <v>112</v>
      </c>
      <c r="E26" s="568">
        <v>24</v>
      </c>
      <c r="F26" s="569" t="s">
        <v>117</v>
      </c>
      <c r="G26" s="576"/>
      <c r="H26" s="649" t="s">
        <v>112</v>
      </c>
      <c r="I26" s="568">
        <v>24</v>
      </c>
      <c r="J26" s="569" t="s">
        <v>114</v>
      </c>
      <c r="K26" s="576"/>
      <c r="L26" s="571">
        <v>17.142857142857142</v>
      </c>
      <c r="M26" s="568">
        <v>24</v>
      </c>
      <c r="N26" s="569" t="s">
        <v>111</v>
      </c>
      <c r="O26" s="576"/>
      <c r="P26" s="649" t="s">
        <v>112</v>
      </c>
      <c r="Q26" s="572">
        <v>24</v>
      </c>
      <c r="R26" s="573" t="s">
        <v>113</v>
      </c>
      <c r="S26" s="577"/>
      <c r="T26" s="575" t="s">
        <v>112</v>
      </c>
      <c r="U26" s="568">
        <v>24</v>
      </c>
      <c r="V26" s="569" t="s">
        <v>114</v>
      </c>
      <c r="W26" s="576"/>
      <c r="X26" s="649">
        <v>30.142857142857142</v>
      </c>
    </row>
    <row r="27" spans="1:24">
      <c r="A27" s="572">
        <v>25</v>
      </c>
      <c r="B27" s="573" t="s">
        <v>113</v>
      </c>
      <c r="C27" s="577"/>
      <c r="D27" s="575" t="s">
        <v>112</v>
      </c>
      <c r="E27" s="572">
        <v>25</v>
      </c>
      <c r="F27" s="573" t="s">
        <v>113</v>
      </c>
      <c r="G27" s="577"/>
      <c r="H27" s="580" t="s">
        <v>112</v>
      </c>
      <c r="I27" s="568">
        <v>25</v>
      </c>
      <c r="J27" s="569" t="s">
        <v>116</v>
      </c>
      <c r="K27" s="576"/>
      <c r="L27" s="571" t="s">
        <v>112</v>
      </c>
      <c r="M27" s="568">
        <v>25</v>
      </c>
      <c r="N27" s="569" t="s">
        <v>115</v>
      </c>
      <c r="O27" s="576"/>
      <c r="P27" s="649" t="s">
        <v>112</v>
      </c>
      <c r="Q27" s="572">
        <v>25</v>
      </c>
      <c r="R27" s="573" t="s">
        <v>118</v>
      </c>
      <c r="S27" s="577"/>
      <c r="T27" s="575" t="s">
        <v>112</v>
      </c>
      <c r="U27" s="568">
        <v>25</v>
      </c>
      <c r="V27" s="569" t="s">
        <v>116</v>
      </c>
      <c r="W27" s="576"/>
      <c r="X27" s="649" t="s">
        <v>112</v>
      </c>
    </row>
    <row r="28" spans="1:24">
      <c r="A28" s="572">
        <v>26</v>
      </c>
      <c r="B28" s="573" t="s">
        <v>118</v>
      </c>
      <c r="C28" s="577"/>
      <c r="D28" s="575" t="s">
        <v>112</v>
      </c>
      <c r="E28" s="572">
        <v>26</v>
      </c>
      <c r="F28" s="573" t="s">
        <v>118</v>
      </c>
      <c r="G28" s="577"/>
      <c r="H28" s="580" t="s">
        <v>112</v>
      </c>
      <c r="I28" s="568">
        <v>26</v>
      </c>
      <c r="J28" s="569" t="s">
        <v>111</v>
      </c>
      <c r="K28" s="576"/>
      <c r="L28" s="571" t="s">
        <v>112</v>
      </c>
      <c r="M28" s="568">
        <v>26</v>
      </c>
      <c r="N28" s="569" t="s">
        <v>117</v>
      </c>
      <c r="O28" s="576"/>
      <c r="P28" s="649" t="s">
        <v>112</v>
      </c>
      <c r="Q28" s="568">
        <v>26</v>
      </c>
      <c r="R28" s="569" t="s">
        <v>114</v>
      </c>
      <c r="S28" s="576"/>
      <c r="T28" s="571">
        <v>26.142857142857142</v>
      </c>
      <c r="U28" s="568">
        <v>26</v>
      </c>
      <c r="V28" s="569" t="s">
        <v>111</v>
      </c>
      <c r="W28" s="576"/>
      <c r="X28" s="649" t="s">
        <v>112</v>
      </c>
    </row>
    <row r="29" spans="1:24">
      <c r="A29" s="568">
        <v>27</v>
      </c>
      <c r="B29" s="569" t="s">
        <v>114</v>
      </c>
      <c r="C29" s="576"/>
      <c r="D29" s="571">
        <v>9.1428571428571423</v>
      </c>
      <c r="E29" s="568">
        <v>27</v>
      </c>
      <c r="F29" s="569" t="s">
        <v>114</v>
      </c>
      <c r="G29" s="576"/>
      <c r="H29" s="649">
        <v>13.142857142857142</v>
      </c>
      <c r="I29" s="568">
        <v>27</v>
      </c>
      <c r="J29" s="569" t="s">
        <v>115</v>
      </c>
      <c r="K29" s="576"/>
      <c r="L29" s="571" t="s">
        <v>112</v>
      </c>
      <c r="M29" s="572">
        <v>27</v>
      </c>
      <c r="N29" s="573" t="s">
        <v>113</v>
      </c>
      <c r="O29" s="577"/>
      <c r="P29" s="580" t="s">
        <v>112</v>
      </c>
      <c r="Q29" s="568">
        <v>27</v>
      </c>
      <c r="R29" s="569" t="s">
        <v>116</v>
      </c>
      <c r="S29" s="576"/>
      <c r="T29" s="571" t="s">
        <v>112</v>
      </c>
      <c r="U29" s="568">
        <v>27</v>
      </c>
      <c r="V29" s="569" t="s">
        <v>115</v>
      </c>
      <c r="W29" s="576"/>
      <c r="X29" s="649" t="s">
        <v>112</v>
      </c>
    </row>
    <row r="30" spans="1:24">
      <c r="A30" s="568">
        <v>28</v>
      </c>
      <c r="B30" s="569" t="s">
        <v>116</v>
      </c>
      <c r="C30" s="578"/>
      <c r="D30" s="649" t="s">
        <v>112</v>
      </c>
      <c r="E30" s="568">
        <v>28</v>
      </c>
      <c r="F30" s="569" t="s">
        <v>116</v>
      </c>
      <c r="G30" s="576"/>
      <c r="H30" s="649" t="s">
        <v>112</v>
      </c>
      <c r="I30" s="568">
        <v>28</v>
      </c>
      <c r="J30" s="569" t="s">
        <v>117</v>
      </c>
      <c r="K30" s="576"/>
      <c r="L30" s="571" t="s">
        <v>112</v>
      </c>
      <c r="M30" s="572">
        <v>28</v>
      </c>
      <c r="N30" s="573" t="s">
        <v>118</v>
      </c>
      <c r="O30" s="577" t="s">
        <v>263</v>
      </c>
      <c r="P30" s="580" t="s">
        <v>112</v>
      </c>
      <c r="Q30" s="568">
        <v>28</v>
      </c>
      <c r="R30" s="569" t="s">
        <v>111</v>
      </c>
      <c r="S30" s="576"/>
      <c r="T30" s="571" t="s">
        <v>112</v>
      </c>
      <c r="U30" s="568">
        <v>28</v>
      </c>
      <c r="V30" s="569" t="s">
        <v>117</v>
      </c>
      <c r="W30" s="576"/>
      <c r="X30" s="649" t="s">
        <v>112</v>
      </c>
    </row>
    <row r="31" spans="1:24">
      <c r="A31" s="644"/>
      <c r="B31" s="645"/>
      <c r="C31" s="650"/>
      <c r="D31" s="648"/>
      <c r="E31" s="568">
        <v>29</v>
      </c>
      <c r="F31" s="569" t="s">
        <v>111</v>
      </c>
      <c r="G31" s="576"/>
      <c r="H31" s="649" t="s">
        <v>112</v>
      </c>
      <c r="I31" s="572">
        <v>29</v>
      </c>
      <c r="J31" s="573" t="s">
        <v>113</v>
      </c>
      <c r="K31" s="577"/>
      <c r="L31" s="575" t="s">
        <v>112</v>
      </c>
      <c r="M31" s="568">
        <v>29</v>
      </c>
      <c r="N31" s="569" t="s">
        <v>114</v>
      </c>
      <c r="O31" s="576" t="s">
        <v>270</v>
      </c>
      <c r="P31" s="649">
        <v>22.142857142857142</v>
      </c>
      <c r="Q31" s="568">
        <v>29</v>
      </c>
      <c r="R31" s="569" t="s">
        <v>115</v>
      </c>
      <c r="S31" s="576"/>
      <c r="T31" s="571" t="s">
        <v>112</v>
      </c>
      <c r="U31" s="572">
        <v>29</v>
      </c>
      <c r="V31" s="573" t="s">
        <v>113</v>
      </c>
      <c r="W31" s="577"/>
      <c r="X31" s="580" t="s">
        <v>112</v>
      </c>
    </row>
    <row r="32" spans="1:24">
      <c r="A32" s="646"/>
      <c r="B32" s="647"/>
      <c r="C32" s="651"/>
      <c r="D32" s="417"/>
      <c r="E32" s="568">
        <v>30</v>
      </c>
      <c r="F32" s="569" t="s">
        <v>115</v>
      </c>
      <c r="G32" s="576"/>
      <c r="H32" s="649" t="s">
        <v>112</v>
      </c>
      <c r="I32" s="572">
        <v>30</v>
      </c>
      <c r="J32" s="573" t="s">
        <v>118</v>
      </c>
      <c r="K32" s="652"/>
      <c r="L32" s="575" t="s">
        <v>112</v>
      </c>
      <c r="M32" s="568">
        <v>30</v>
      </c>
      <c r="N32" s="569" t="s">
        <v>116</v>
      </c>
      <c r="O32" s="576"/>
      <c r="P32" s="649" t="s">
        <v>112</v>
      </c>
      <c r="Q32" s="568">
        <v>30</v>
      </c>
      <c r="R32" s="569" t="s">
        <v>117</v>
      </c>
      <c r="S32" s="581"/>
      <c r="T32" s="571" t="s">
        <v>112</v>
      </c>
      <c r="U32" s="572">
        <v>30</v>
      </c>
      <c r="V32" s="573" t="s">
        <v>118</v>
      </c>
      <c r="W32" s="577"/>
      <c r="X32" s="580" t="s">
        <v>112</v>
      </c>
    </row>
    <row r="33" spans="1:24">
      <c r="A33" s="646"/>
      <c r="B33" s="647"/>
      <c r="C33" s="651"/>
      <c r="D33" s="417"/>
      <c r="E33" s="653">
        <v>31</v>
      </c>
      <c r="F33" s="654" t="s">
        <v>117</v>
      </c>
      <c r="G33" s="581"/>
      <c r="H33" s="661" t="s">
        <v>112</v>
      </c>
      <c r="I33" s="644"/>
      <c r="J33" s="645"/>
      <c r="K33" s="650"/>
      <c r="L33" s="660"/>
      <c r="M33" s="653">
        <v>31</v>
      </c>
      <c r="N33" s="654" t="s">
        <v>111</v>
      </c>
      <c r="O33" s="581"/>
      <c r="P33" s="661" t="s">
        <v>112</v>
      </c>
      <c r="Q33" s="644"/>
      <c r="R33" s="645"/>
      <c r="S33" s="650"/>
      <c r="T33" s="660"/>
      <c r="U33" s="653">
        <v>31</v>
      </c>
      <c r="V33" s="654" t="s">
        <v>114</v>
      </c>
      <c r="W33" s="581"/>
      <c r="X33" s="661">
        <v>31.142857142857142</v>
      </c>
    </row>
  </sheetData>
  <mergeCells count="2">
    <mergeCell ref="A1:X1"/>
    <mergeCell ref="O20:P20"/>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103"/>
  <sheetViews>
    <sheetView showGridLines="0" showOutlineSymbols="0" view="pageBreakPreview" topLeftCell="AU1" zoomScale="156" zoomScaleNormal="90" workbookViewId="0">
      <pane ySplit="4" topLeftCell="A5" activePane="bottomLeft" state="frozenSplit"/>
      <selection activeCell="A3" sqref="A3"/>
      <selection pane="bottomLeft" activeCell="BA5" sqref="BA5"/>
    </sheetView>
  </sheetViews>
  <sheetFormatPr baseColWidth="10" defaultColWidth="9.85546875" defaultRowHeight="13" outlineLevelCol="1"/>
  <cols>
    <col min="1" max="1" width="79.5703125" style="153" customWidth="1"/>
    <col min="2" max="2" width="2.85546875" style="153" customWidth="1"/>
    <col min="3" max="3" width="4" style="153" customWidth="1"/>
    <col min="4" max="4" width="9.140625" style="153" customWidth="1"/>
    <col min="5" max="5" width="2.7109375" style="153" customWidth="1"/>
    <col min="6" max="6" width="28.140625" style="153" customWidth="1" outlineLevel="1"/>
    <col min="7" max="7" width="13.28515625" style="153" customWidth="1" outlineLevel="1"/>
    <col min="8" max="8" width="10.140625" style="153" customWidth="1" outlineLevel="1"/>
    <col min="9" max="10" width="4" style="153" customWidth="1"/>
    <col min="11" max="11" width="9.28515625" style="153" customWidth="1"/>
    <col min="12" max="12" width="2.42578125" style="153" customWidth="1"/>
    <col min="13" max="13" width="28.140625" style="153" customWidth="1" outlineLevel="1"/>
    <col min="14" max="14" width="13.28515625" style="153" customWidth="1" outlineLevel="1"/>
    <col min="15" max="15" width="10.140625" style="153" customWidth="1" outlineLevel="1"/>
    <col min="16" max="16" width="2.85546875" style="153" customWidth="1"/>
    <col min="17" max="17" width="4" style="153" customWidth="1"/>
    <col min="18" max="18" width="9.85546875" style="153" customWidth="1"/>
    <col min="19" max="19" width="2.42578125" style="153" customWidth="1"/>
    <col min="20" max="20" width="28" style="153" customWidth="1" outlineLevel="1"/>
    <col min="21" max="21" width="13.28515625" style="153" customWidth="1" outlineLevel="1"/>
    <col min="22" max="22" width="10.140625" style="153" customWidth="1" outlineLevel="1"/>
    <col min="23" max="23" width="2.85546875" style="153" customWidth="1"/>
    <col min="24" max="24" width="4" style="153" customWidth="1"/>
    <col min="25" max="25" width="10" style="153" customWidth="1"/>
    <col min="26" max="26" width="2.42578125" style="153" customWidth="1"/>
    <col min="27" max="27" width="28.140625" style="153" customWidth="1" outlineLevel="1"/>
    <col min="28" max="28" width="13.28515625" style="153" customWidth="1" outlineLevel="1"/>
    <col min="29" max="29" width="10.140625" style="153" customWidth="1" outlineLevel="1"/>
    <col min="30" max="30" width="2.85546875" style="153" customWidth="1"/>
    <col min="31" max="31" width="4" style="153" customWidth="1"/>
    <col min="32" max="32" width="10" style="153" customWidth="1"/>
    <col min="33" max="33" width="2.5703125" style="153" customWidth="1"/>
    <col min="34" max="34" width="28" style="153" customWidth="1" outlineLevel="1"/>
    <col min="35" max="35" width="13.28515625" style="153" customWidth="1" outlineLevel="1"/>
    <col min="36" max="36" width="10.140625" style="153" customWidth="1" outlineLevel="1"/>
    <col min="37" max="37" width="2.85546875" style="153" customWidth="1"/>
    <col min="38" max="38" width="4" style="153" customWidth="1"/>
    <col min="39" max="39" width="9.5703125" style="153" customWidth="1"/>
    <col min="40" max="40" width="2.42578125" style="182" customWidth="1"/>
    <col min="41" max="41" width="28.140625" style="153" customWidth="1" outlineLevel="1"/>
    <col min="42" max="42" width="13.28515625" style="153" customWidth="1" outlineLevel="1"/>
    <col min="43" max="43" width="10.140625" style="153" customWidth="1" outlineLevel="1"/>
    <col min="44" max="44" width="2.85546875" style="153" customWidth="1"/>
    <col min="45" max="45" width="4" style="153" customWidth="1"/>
    <col min="46" max="46" width="10.42578125" style="153" customWidth="1"/>
    <col min="47" max="47" width="3.140625" style="182" customWidth="1"/>
    <col min="48" max="48" width="28" style="153" customWidth="1" outlineLevel="1"/>
    <col min="49" max="49" width="13.28515625" style="153" customWidth="1" outlineLevel="1"/>
    <col min="50" max="50" width="10.140625" style="153" customWidth="1" outlineLevel="1"/>
    <col min="51" max="51" width="2.85546875" style="153" customWidth="1"/>
    <col min="52" max="52" width="4" style="153" customWidth="1"/>
    <col min="53" max="53" width="10.140625" style="153" customWidth="1"/>
    <col min="54" max="54" width="2.42578125" style="182" customWidth="1"/>
    <col min="55" max="55" width="28" style="153" customWidth="1" outlineLevel="1"/>
    <col min="56" max="56" width="13.28515625" style="153" customWidth="1" outlineLevel="1"/>
    <col min="57" max="57" width="10.140625" style="153" customWidth="1" outlineLevel="1"/>
    <col min="58" max="58" width="2.85546875" style="153" customWidth="1"/>
    <col min="59" max="59" width="4" style="153" customWidth="1"/>
    <col min="60" max="60" width="10" style="153" customWidth="1"/>
    <col min="61" max="61" width="2.42578125" style="153" customWidth="1"/>
    <col min="62" max="62" width="28" style="153" customWidth="1" outlineLevel="1"/>
    <col min="63" max="63" width="13.28515625" style="153" customWidth="1" outlineLevel="1"/>
    <col min="64" max="64" width="10.140625" style="153" customWidth="1" outlineLevel="1"/>
    <col min="65" max="65" width="2.85546875" style="153" customWidth="1"/>
    <col min="66" max="66" width="4" style="153" customWidth="1"/>
    <col min="67" max="67" width="10.42578125" style="153" customWidth="1"/>
    <col min="68" max="68" width="2.42578125" style="153" customWidth="1"/>
    <col min="69" max="69" width="28" style="153" customWidth="1" outlineLevel="1"/>
    <col min="70" max="70" width="13.28515625" style="153" customWidth="1" outlineLevel="1"/>
    <col min="71" max="71" width="10.140625" style="153" customWidth="1" outlineLevel="1"/>
    <col min="72" max="72" width="2.85546875" style="153" customWidth="1"/>
    <col min="73" max="73" width="4" style="153" customWidth="1"/>
    <col min="74" max="74" width="10" style="153" customWidth="1"/>
    <col min="75" max="75" width="2.42578125" style="153" customWidth="1"/>
    <col min="76" max="76" width="28" style="153" customWidth="1" outlineLevel="1"/>
    <col min="77" max="77" width="13.28515625" style="153" customWidth="1" outlineLevel="1"/>
    <col min="78" max="78" width="10.140625" style="153" customWidth="1" outlineLevel="1"/>
    <col min="79" max="79" width="2.85546875" style="153" customWidth="1"/>
    <col min="80" max="80" width="4" style="153" customWidth="1"/>
    <col min="81" max="81" width="9.5703125" style="153" customWidth="1"/>
    <col min="82" max="82" width="2.42578125" style="153" customWidth="1"/>
    <col min="83" max="83" width="28" style="153" customWidth="1" outlineLevel="1"/>
    <col min="84" max="84" width="13.28515625" style="153" customWidth="1" outlineLevel="1"/>
    <col min="85" max="85" width="10.140625" style="153" customWidth="1" outlineLevel="1"/>
    <col min="86" max="86" width="1.42578125" style="177" customWidth="1" outlineLevel="1"/>
    <col min="87" max="87" width="15" style="153" customWidth="1"/>
    <col min="88" max="88" width="4.85546875" style="153" customWidth="1"/>
    <col min="89" max="16384" width="9.85546875" style="153"/>
  </cols>
  <sheetData>
    <row r="1" spans="1:90" s="113" customFormat="1" ht="15" customHeight="1">
      <c r="A1" s="549"/>
      <c r="B1" s="112" t="str">
        <f>"Månedsplan for "&amp;A1</f>
        <v xml:space="preserve">Månedsplan for </v>
      </c>
      <c r="I1" s="114" t="str">
        <f>$B$1</f>
        <v xml:space="preserve">Månedsplan for </v>
      </c>
      <c r="P1" s="114" t="str">
        <f>$B$1</f>
        <v xml:space="preserve">Månedsplan for </v>
      </c>
      <c r="W1" s="114" t="str">
        <f>$B$1</f>
        <v xml:space="preserve">Månedsplan for </v>
      </c>
      <c r="AD1" s="114" t="str">
        <f>$B$1</f>
        <v xml:space="preserve">Månedsplan for </v>
      </c>
      <c r="AK1" s="114" t="str">
        <f>$B$1</f>
        <v xml:space="preserve">Månedsplan for </v>
      </c>
      <c r="AR1" s="114" t="str">
        <f>$B$1</f>
        <v xml:space="preserve">Månedsplan for </v>
      </c>
      <c r="AY1" s="114" t="str">
        <f>$B$1</f>
        <v xml:space="preserve">Månedsplan for </v>
      </c>
      <c r="BF1" s="114" t="str">
        <f>$B$1</f>
        <v xml:space="preserve">Månedsplan for </v>
      </c>
      <c r="BM1" s="114" t="str">
        <f>$B$1</f>
        <v xml:space="preserve">Månedsplan for </v>
      </c>
      <c r="BT1" s="114" t="str">
        <f>$B$1</f>
        <v xml:space="preserve">Månedsplan for </v>
      </c>
      <c r="CA1" s="114" t="str">
        <f>$B$1</f>
        <v xml:space="preserve">Månedsplan for </v>
      </c>
      <c r="CH1" s="115"/>
      <c r="CI1" s="116"/>
    </row>
    <row r="2" spans="1:90" s="113" customFormat="1" ht="15" customHeight="1">
      <c r="A2" s="550"/>
      <c r="B2" s="117">
        <v>8</v>
      </c>
      <c r="E2" s="117">
        <v>31</v>
      </c>
      <c r="I2" s="118">
        <v>9</v>
      </c>
      <c r="P2" s="118">
        <v>10</v>
      </c>
      <c r="W2" s="118">
        <v>11</v>
      </c>
      <c r="AD2" s="118">
        <v>12</v>
      </c>
      <c r="AK2" s="118">
        <v>1</v>
      </c>
      <c r="AR2" s="118">
        <v>2</v>
      </c>
      <c r="AY2" s="118">
        <v>3</v>
      </c>
      <c r="BF2" s="118">
        <v>4</v>
      </c>
      <c r="BM2" s="118">
        <v>5</v>
      </c>
      <c r="BT2" s="118">
        <v>6</v>
      </c>
      <c r="CA2" s="118">
        <v>7</v>
      </c>
      <c r="CH2" s="115"/>
      <c r="CI2" s="116"/>
    </row>
    <row r="3" spans="1:90" s="113" customFormat="1" ht="15" customHeight="1">
      <c r="A3" s="551">
        <v>2022</v>
      </c>
      <c r="B3" s="119">
        <f>A3</f>
        <v>2022</v>
      </c>
      <c r="C3" s="120"/>
      <c r="D3" s="121"/>
      <c r="E3" s="122"/>
      <c r="F3" s="713" t="s">
        <v>43</v>
      </c>
      <c r="G3" s="714"/>
      <c r="H3" s="715"/>
      <c r="I3" s="119">
        <f>B3</f>
        <v>2022</v>
      </c>
      <c r="J3" s="123"/>
      <c r="K3" s="121"/>
      <c r="L3" s="122"/>
      <c r="M3" s="713" t="s">
        <v>43</v>
      </c>
      <c r="N3" s="714"/>
      <c r="O3" s="715"/>
      <c r="P3" s="124">
        <f>I3</f>
        <v>2022</v>
      </c>
      <c r="Q3" s="125"/>
      <c r="R3" s="126"/>
      <c r="S3" s="127"/>
      <c r="T3" s="719" t="s">
        <v>43</v>
      </c>
      <c r="U3" s="720"/>
      <c r="V3" s="721"/>
      <c r="W3" s="124">
        <f>P3</f>
        <v>2022</v>
      </c>
      <c r="X3" s="125"/>
      <c r="Y3" s="126"/>
      <c r="Z3" s="127"/>
      <c r="AA3" s="719" t="s">
        <v>43</v>
      </c>
      <c r="AB3" s="720"/>
      <c r="AC3" s="721"/>
      <c r="AD3" s="124">
        <f>W3</f>
        <v>2022</v>
      </c>
      <c r="AE3" s="125"/>
      <c r="AF3" s="126"/>
      <c r="AG3" s="127"/>
      <c r="AH3" s="719" t="s">
        <v>43</v>
      </c>
      <c r="AI3" s="720"/>
      <c r="AJ3" s="721"/>
      <c r="AK3" s="124">
        <f>AD3+1</f>
        <v>2023</v>
      </c>
      <c r="AL3" s="125"/>
      <c r="AM3" s="126"/>
      <c r="AN3" s="127"/>
      <c r="AO3" s="128"/>
      <c r="AP3" s="129"/>
      <c r="AQ3" s="130"/>
      <c r="AR3" s="124">
        <f>$AK3</f>
        <v>2023</v>
      </c>
      <c r="AS3" s="125"/>
      <c r="AT3" s="126"/>
      <c r="AU3" s="127"/>
      <c r="AV3" s="128"/>
      <c r="AW3" s="129"/>
      <c r="AX3" s="130"/>
      <c r="AY3" s="124">
        <f>$AK3</f>
        <v>2023</v>
      </c>
      <c r="AZ3" s="125"/>
      <c r="BA3" s="126"/>
      <c r="BB3" s="127"/>
      <c r="BC3" s="128"/>
      <c r="BD3" s="129"/>
      <c r="BE3" s="130"/>
      <c r="BF3" s="124">
        <f>$AK3</f>
        <v>2023</v>
      </c>
      <c r="BG3" s="125"/>
      <c r="BH3" s="126"/>
      <c r="BI3" s="127"/>
      <c r="BJ3" s="128"/>
      <c r="BK3" s="129"/>
      <c r="BL3" s="130"/>
      <c r="BM3" s="124">
        <f>$AK3</f>
        <v>2023</v>
      </c>
      <c r="BN3" s="125"/>
      <c r="BO3" s="126"/>
      <c r="BP3" s="127"/>
      <c r="BQ3" s="128"/>
      <c r="BR3" s="129"/>
      <c r="BS3" s="130"/>
      <c r="BT3" s="124">
        <f>$AK3</f>
        <v>2023</v>
      </c>
      <c r="BU3" s="125"/>
      <c r="BV3" s="126"/>
      <c r="BW3" s="127"/>
      <c r="BX3" s="128"/>
      <c r="BY3" s="129"/>
      <c r="BZ3" s="130"/>
      <c r="CA3" s="124">
        <f>$AK3</f>
        <v>2023</v>
      </c>
      <c r="CB3" s="131"/>
      <c r="CC3" s="126"/>
      <c r="CD3" s="127"/>
      <c r="CE3" s="719" t="s">
        <v>43</v>
      </c>
      <c r="CF3" s="720"/>
      <c r="CG3" s="721"/>
      <c r="CH3" s="132"/>
      <c r="CI3" s="116"/>
    </row>
    <row r="4" spans="1:90" s="113" customFormat="1" ht="18">
      <c r="A4" s="552"/>
      <c r="B4" s="133" t="s">
        <v>44</v>
      </c>
      <c r="C4" s="134"/>
      <c r="D4" s="135"/>
      <c r="E4" s="136"/>
      <c r="F4" s="716"/>
      <c r="G4" s="717"/>
      <c r="H4" s="718"/>
      <c r="I4" s="133" t="s">
        <v>45</v>
      </c>
      <c r="J4" s="137"/>
      <c r="K4" s="135"/>
      <c r="L4" s="136"/>
      <c r="M4" s="716"/>
      <c r="N4" s="717"/>
      <c r="O4" s="718"/>
      <c r="P4" s="138" t="s">
        <v>46</v>
      </c>
      <c r="Q4" s="139"/>
      <c r="R4" s="140"/>
      <c r="S4" s="141"/>
      <c r="T4" s="722"/>
      <c r="U4" s="723"/>
      <c r="V4" s="724"/>
      <c r="W4" s="138" t="s">
        <v>47</v>
      </c>
      <c r="X4" s="139"/>
      <c r="Y4" s="140"/>
      <c r="Z4" s="141"/>
      <c r="AA4" s="722"/>
      <c r="AB4" s="723"/>
      <c r="AC4" s="724"/>
      <c r="AD4" s="138" t="s">
        <v>48</v>
      </c>
      <c r="AE4" s="139"/>
      <c r="AF4" s="140"/>
      <c r="AG4" s="141"/>
      <c r="AH4" s="722"/>
      <c r="AI4" s="723"/>
      <c r="AJ4" s="724"/>
      <c r="AK4" s="138" t="s">
        <v>49</v>
      </c>
      <c r="AL4" s="139"/>
      <c r="AM4" s="140"/>
      <c r="AN4" s="141"/>
      <c r="AO4" s="142" t="s">
        <v>43</v>
      </c>
      <c r="AP4" s="143"/>
      <c r="AQ4" s="144"/>
      <c r="AR4" s="138" t="s">
        <v>50</v>
      </c>
      <c r="AS4" s="139"/>
      <c r="AT4" s="140"/>
      <c r="AU4" s="141"/>
      <c r="AV4" s="142" t="s">
        <v>43</v>
      </c>
      <c r="AW4" s="143"/>
      <c r="AX4" s="144"/>
      <c r="AY4" s="138" t="s">
        <v>51</v>
      </c>
      <c r="AZ4" s="139"/>
      <c r="BA4" s="140"/>
      <c r="BB4" s="141"/>
      <c r="BC4" s="142" t="s">
        <v>43</v>
      </c>
      <c r="BD4" s="143"/>
      <c r="BE4" s="144"/>
      <c r="BF4" s="138" t="s">
        <v>52</v>
      </c>
      <c r="BG4" s="139"/>
      <c r="BH4" s="140"/>
      <c r="BI4" s="141"/>
      <c r="BJ4" s="142" t="s">
        <v>43</v>
      </c>
      <c r="BK4" s="143"/>
      <c r="BL4" s="144"/>
      <c r="BM4" s="138" t="s">
        <v>53</v>
      </c>
      <c r="BN4" s="139"/>
      <c r="BO4" s="140"/>
      <c r="BP4" s="141"/>
      <c r="BQ4" s="142" t="s">
        <v>43</v>
      </c>
      <c r="BR4" s="143"/>
      <c r="BS4" s="144"/>
      <c r="BT4" s="138" t="s">
        <v>54</v>
      </c>
      <c r="BU4" s="139"/>
      <c r="BV4" s="140"/>
      <c r="BW4" s="141"/>
      <c r="BX4" s="142" t="s">
        <v>43</v>
      </c>
      <c r="BY4" s="143"/>
      <c r="BZ4" s="144"/>
      <c r="CA4" s="138" t="s">
        <v>55</v>
      </c>
      <c r="CB4" s="145"/>
      <c r="CC4" s="140"/>
      <c r="CD4" s="141"/>
      <c r="CE4" s="722"/>
      <c r="CF4" s="723"/>
      <c r="CG4" s="724"/>
      <c r="CH4" s="132"/>
      <c r="CI4" s="116"/>
    </row>
    <row r="5" spans="1:90" ht="18" customHeight="1">
      <c r="A5" s="553" t="s">
        <v>56</v>
      </c>
      <c r="B5" s="146">
        <f>IF(ISNUMBER(B4),B4+1,1)</f>
        <v>1</v>
      </c>
      <c r="C5" s="147" t="str">
        <f>CHOOSE(MOD(WEEKDAY(DATE(B$3,B$2,B5)),7)+1,"lø","sø","ma","ti","on","to","fr",)</f>
        <v>ma</v>
      </c>
      <c r="D5" s="436" t="s">
        <v>130</v>
      </c>
      <c r="E5" s="149">
        <f>IF(C5="ma",(DATE(B$3,B$2,B5)-DATE(B$3,1,1)+7)/7,"")</f>
        <v>31.285714285714285</v>
      </c>
      <c r="F5" s="702"/>
      <c r="G5" s="700"/>
      <c r="H5" s="701"/>
      <c r="I5" s="146">
        <f>IF(ISNUMBER(I4),I4+1,1)</f>
        <v>1</v>
      </c>
      <c r="J5" s="147" t="str">
        <f>CHOOSE(MOD(WEEKDAY(DATE(I$3,I$2,I5)),7)+1,"lø","sø","ma","ti","on","to","fr",)</f>
        <v>to</v>
      </c>
      <c r="K5" s="148" t="s">
        <v>130</v>
      </c>
      <c r="L5" s="149" t="str">
        <f>IF(J5="ma",(DATE(I$3,I$2,I5)-DATE(I$3,1,1)+7)/7,"")</f>
        <v/>
      </c>
      <c r="M5" s="696"/>
      <c r="N5" s="694"/>
      <c r="O5" s="695"/>
      <c r="P5" s="146">
        <f>IF(ISNUMBER(P4),P4+1,1)</f>
        <v>1</v>
      </c>
      <c r="Q5" s="147" t="str">
        <f>CHOOSE(MOD(WEEKDAY(DATE(P$3,P$2,P5)),7)+1,"lø","sø","ma","ti","on","to","fr",)</f>
        <v>lø</v>
      </c>
      <c r="R5" s="436" t="s">
        <v>62</v>
      </c>
      <c r="S5" s="149" t="str">
        <f>IF(Q5="ma",(DATE(P$3,P$2,P5)-DATE(P$3,1,1)+7)/7,"")</f>
        <v/>
      </c>
      <c r="T5" s="699"/>
      <c r="U5" s="700"/>
      <c r="V5" s="701"/>
      <c r="W5" s="146">
        <f>IF(ISNUMBER(W4),W4+1,1)</f>
        <v>1</v>
      </c>
      <c r="X5" s="147" t="str">
        <f>CHOOSE(MOD(WEEKDAY(DATE(W$3,W$2,W5)),7)+1,"lø","sø","ma","ti","on","to","fr",)</f>
        <v>ti</v>
      </c>
      <c r="Y5" s="436" t="s">
        <v>130</v>
      </c>
      <c r="Z5" s="149" t="str">
        <f>IF(X5="ma",(DATE(W$3,W$2,W5)-DATE(W$3,1,1)+7)/7,"")</f>
        <v/>
      </c>
      <c r="AA5" s="699"/>
      <c r="AB5" s="700"/>
      <c r="AC5" s="701"/>
      <c r="AD5" s="146">
        <f>IF(ISNUMBER(AD4),AD4+1,1)</f>
        <v>1</v>
      </c>
      <c r="AE5" s="147" t="str">
        <f>CHOOSE(MOD(WEEKDAY(DATE(AD$3,AD$2,AD5)),7)+1,"lø","sø","ma","ti","on","to","fr",)</f>
        <v>to</v>
      </c>
      <c r="AF5" s="148" t="s">
        <v>130</v>
      </c>
      <c r="AG5" s="149" t="str">
        <f>IF(AE5="ma",(DATE(AD$3,AD$2,AD5)-DATE(AD$3,1,1)+7)/7,"")</f>
        <v/>
      </c>
      <c r="AH5" s="702"/>
      <c r="AI5" s="700"/>
      <c r="AJ5" s="701"/>
      <c r="AK5" s="146">
        <f>IF(ISNUMBER(AK4),AK4+1,1)</f>
        <v>1</v>
      </c>
      <c r="AL5" s="147" t="str">
        <f>CHOOSE(MOD(WEEKDAY(DATE(AK$3,AK$2,AK5)),7)+1,"lø","sø","ma","ti","on","to","fr",)</f>
        <v>sø</v>
      </c>
      <c r="AM5" s="148" t="s">
        <v>62</v>
      </c>
      <c r="AN5" s="149" t="str">
        <f>IF(AL5="ma",(DATE(AK$3,AK$2,AK5)-DATE(AK$3,1,1)+7)/7,"")</f>
        <v/>
      </c>
      <c r="AO5" s="699" t="s">
        <v>58</v>
      </c>
      <c r="AP5" s="700"/>
      <c r="AQ5" s="701"/>
      <c r="AR5" s="146">
        <f>IF(ISNUMBER(AR4),AR4+1,1)</f>
        <v>1</v>
      </c>
      <c r="AS5" s="147" t="str">
        <f>CHOOSE(MOD(WEEKDAY(DATE(AR$3,AR$2,AR5)),7)+1,"lø","sø","ma","ti","on","to","fr",)</f>
        <v>on</v>
      </c>
      <c r="AT5" s="436" t="s">
        <v>130</v>
      </c>
      <c r="AU5" s="149" t="str">
        <f>IF(AS5="ma",(DATE(AR$3,AR$2,AR5)-DATE(AR$3,1,1)+7)/7,"")</f>
        <v/>
      </c>
      <c r="AV5" s="699"/>
      <c r="AW5" s="700"/>
      <c r="AX5" s="701"/>
      <c r="AY5" s="146">
        <f>IF(ISNUMBER(AY4),AY4+1,1)</f>
        <v>1</v>
      </c>
      <c r="AZ5" s="147" t="str">
        <f>CHOOSE(MOD(WEEKDAY(DATE(AY$3,AY$2,AY5)),7)+1,"lø","sø","ma","ti","on","to","fr",)</f>
        <v>on</v>
      </c>
      <c r="BA5" s="436" t="s">
        <v>130</v>
      </c>
      <c r="BB5" s="149" t="str">
        <f>IF(AZ5="ma",(DATE(AY$3,AY$2,AY5)-DATE(AY$3,1,1)+7)/7,"")</f>
        <v/>
      </c>
      <c r="BC5" s="699"/>
      <c r="BD5" s="700"/>
      <c r="BE5" s="701"/>
      <c r="BF5" s="146">
        <f>IF(ISNUMBER(BF4),BF4+1,1)</f>
        <v>1</v>
      </c>
      <c r="BG5" s="147" t="str">
        <f>CHOOSE(MOD(WEEKDAY(DATE(BF$3,BF$2,BF5)),7)+1,"lø","sø","ma","ti","on","to","fr",)</f>
        <v>lø</v>
      </c>
      <c r="BH5" s="436" t="s">
        <v>62</v>
      </c>
      <c r="BI5" s="149" t="str">
        <f>IF(BG5="ma",(DATE(BF$3,BF$2,BF5)-DATE(BF$3,1,1)+7)/7,"")</f>
        <v/>
      </c>
      <c r="BJ5" s="699"/>
      <c r="BK5" s="700"/>
      <c r="BL5" s="701"/>
      <c r="BM5" s="146">
        <f>IF(ISNUMBER(BM4),BM4+1,1)</f>
        <v>1</v>
      </c>
      <c r="BN5" s="147" t="str">
        <f>CHOOSE(MOD(WEEKDAY(DATE(BM$3,BM$2,BM5)),7)+1,"lø","sø","ma","ti","on","to","fr",)</f>
        <v>ma</v>
      </c>
      <c r="BO5" s="436" t="s">
        <v>130</v>
      </c>
      <c r="BP5" s="149">
        <f>IF(BN5="ma",(DATE(BM$3,BM$2,BM5)-DATE(BM$3,1,1)+7)/7,"")</f>
        <v>18.142857142857142</v>
      </c>
      <c r="BQ5" s="699"/>
      <c r="BR5" s="700"/>
      <c r="BS5" s="701"/>
      <c r="BT5" s="146">
        <f>IF(ISNUMBER(BT4),BT4+1,1)</f>
        <v>1</v>
      </c>
      <c r="BU5" s="147" t="str">
        <f>CHOOSE(MOD(WEEKDAY(DATE(BT$3,BT$2,BT5)),7)+1,"lø","sø","ma","ti","on","to","fr",)</f>
        <v>to</v>
      </c>
      <c r="BV5" s="436" t="s">
        <v>130</v>
      </c>
      <c r="BW5" s="149" t="str">
        <f>IF(BU5="ma",(DATE(BT$3,BT$2,BT5)-DATE(BT$3,1,1)+7)/7,"")</f>
        <v/>
      </c>
      <c r="BX5" s="702"/>
      <c r="BY5" s="700"/>
      <c r="BZ5" s="701"/>
      <c r="CA5" s="146">
        <f>IF(ISNUMBER(CA4),CA4+1,1)</f>
        <v>1</v>
      </c>
      <c r="CB5" s="147" t="str">
        <f>CHOOSE(MOD(WEEKDAY(DATE(CA$3,CA$2,CA5)),7)+1,"lø","sø","ma","ti","on","to","fr",)</f>
        <v>lø</v>
      </c>
      <c r="CC5" s="436" t="s">
        <v>62</v>
      </c>
      <c r="CD5" s="149" t="str">
        <f>IF(CB5="ma",(DATE(CA$3,CA$2,CA5)-DATE(CA$3,1,1)+7)/7,"")</f>
        <v/>
      </c>
      <c r="CE5" s="702"/>
      <c r="CF5" s="700"/>
      <c r="CG5" s="701"/>
      <c r="CH5" s="150"/>
      <c r="CI5" s="151"/>
      <c r="CJ5" s="152"/>
      <c r="CK5" s="152"/>
      <c r="CL5" s="152"/>
    </row>
    <row r="6" spans="1:90" ht="18" customHeight="1">
      <c r="A6" s="697" t="s">
        <v>262</v>
      </c>
      <c r="B6" s="146">
        <f t="shared" ref="B6:B34" si="0">IF(ISNUMBER(B5),B5+1,1)</f>
        <v>2</v>
      </c>
      <c r="C6" s="147" t="str">
        <f t="shared" ref="C6:C34" si="1">CHOOSE(MOD(WEEKDAY(DATE(B$3,B$2,B6)),7)+1,"lø","sø","ma","ti","on","to","fr",)</f>
        <v>ti</v>
      </c>
      <c r="D6" s="436" t="s">
        <v>130</v>
      </c>
      <c r="E6" s="149" t="str">
        <f t="shared" ref="E6:E34" si="2">IF(C6="ma",(DATE(B$3,B$2,B6)-DATE(B$3,1,1)+7)/7,"")</f>
        <v/>
      </c>
      <c r="F6" s="702"/>
      <c r="G6" s="700"/>
      <c r="H6" s="701"/>
      <c r="I6" s="146">
        <f t="shared" ref="I6:I33" si="3">IF(ISNUMBER(I5),I5+1,1)</f>
        <v>2</v>
      </c>
      <c r="J6" s="147" t="str">
        <f t="shared" ref="J6:J34" si="4">CHOOSE(MOD(WEEKDAY(DATE(I$3,I$2,I6)),7)+1,"lø","sø","ma","ti","on","to","fr",)</f>
        <v>fr</v>
      </c>
      <c r="K6" s="436" t="s">
        <v>130</v>
      </c>
      <c r="L6" s="149" t="str">
        <f t="shared" ref="L6:L34" si="5">IF(J6="ma",(DATE(I$3,I$2,I6)-DATE(I$3,1,1)+7)/7,"")</f>
        <v/>
      </c>
      <c r="M6" s="696"/>
      <c r="N6" s="694"/>
      <c r="O6" s="695"/>
      <c r="P6" s="146">
        <f t="shared" ref="P6:P34" si="6">IF(ISNUMBER(P5),P5+1,1)</f>
        <v>2</v>
      </c>
      <c r="Q6" s="147" t="str">
        <f t="shared" ref="Q6:Q34" si="7">CHOOSE(MOD(WEEKDAY(DATE(P$3,P$2,P6)),7)+1,"lø","sø","ma","ti","on","to","fr",)</f>
        <v>sø</v>
      </c>
      <c r="R6" s="436" t="s">
        <v>62</v>
      </c>
      <c r="S6" s="149" t="str">
        <f t="shared" ref="S6:S34" si="8">IF(Q6="ma",(DATE(P$3,P$2,P6)-DATE(P$3,1,1)+7)/7,"")</f>
        <v/>
      </c>
      <c r="T6" s="699"/>
      <c r="U6" s="700"/>
      <c r="V6" s="701"/>
      <c r="W6" s="146">
        <f t="shared" ref="W6:W34" si="9">IF(ISNUMBER(W5),W5+1,1)</f>
        <v>2</v>
      </c>
      <c r="X6" s="147" t="str">
        <f t="shared" ref="X6:X34" si="10">CHOOSE(MOD(WEEKDAY(DATE(W$3,W$2,W6)),7)+1,"lø","sø","ma","ti","on","to","fr",)</f>
        <v>on</v>
      </c>
      <c r="Y6" s="436" t="s">
        <v>130</v>
      </c>
      <c r="Z6" s="149" t="str">
        <f t="shared" ref="Z6:Z34" si="11">IF(X6="ma",(DATE(W$3,W$2,W6)-DATE(W$3,1,1)+7)/7,"")</f>
        <v/>
      </c>
      <c r="AA6" s="699"/>
      <c r="AB6" s="700"/>
      <c r="AC6" s="701"/>
      <c r="AD6" s="146">
        <f t="shared" ref="AD6:AD34" si="12">IF(ISNUMBER(AD5),AD5+1,1)</f>
        <v>2</v>
      </c>
      <c r="AE6" s="147" t="str">
        <f t="shared" ref="AE6:AE34" si="13">CHOOSE(MOD(WEEKDAY(DATE(AD$3,AD$2,AD6)),7)+1,"lø","sø","ma","ti","on","to","fr",)</f>
        <v>fr</v>
      </c>
      <c r="AF6" s="148" t="s">
        <v>130</v>
      </c>
      <c r="AG6" s="149" t="str">
        <f t="shared" ref="AG6:AG34" si="14">IF(AE6="ma",(DATE(AD$3,AD$2,AD6)-DATE(AD$3,1,1)+7)/7,"")</f>
        <v/>
      </c>
      <c r="AH6" s="699"/>
      <c r="AI6" s="700"/>
      <c r="AJ6" s="701"/>
      <c r="AK6" s="146">
        <f t="shared" ref="AK6:AK34" si="15">IF(ISNUMBER(AK5),AK5+1,1)</f>
        <v>2</v>
      </c>
      <c r="AL6" s="147" t="str">
        <f t="shared" ref="AL6:AL34" si="16">CHOOSE(MOD(WEEKDAY(DATE(AK$3,AK$2,AK6)),7)+1,"lø","sø","ma","ti","on","to","fr",)</f>
        <v>ma</v>
      </c>
      <c r="AM6" s="148" t="s">
        <v>130</v>
      </c>
      <c r="AN6" s="149">
        <f t="shared" ref="AN6:AN34" si="17">IF(AL6="ma",(DATE(AK$3,AK$2,AK6)-DATE(AK$3,1,1)+7)/7,"")</f>
        <v>1.1428571428571428</v>
      </c>
      <c r="AO6" s="699"/>
      <c r="AP6" s="700"/>
      <c r="AQ6" s="701"/>
      <c r="AR6" s="146">
        <f t="shared" ref="AR6:AR32" si="18">IF(ISNUMBER(AR5),AR5+1,1)</f>
        <v>2</v>
      </c>
      <c r="AS6" s="147" t="str">
        <f t="shared" ref="AS6:AS32" si="19">CHOOSE(MOD(WEEKDAY(DATE(AR$3,AR$2,AR6)),7)+1,"lø","sø","ma","ti","on","to","fr",)</f>
        <v>to</v>
      </c>
      <c r="AT6" s="436" t="s">
        <v>130</v>
      </c>
      <c r="AU6" s="149" t="str">
        <f t="shared" ref="AU6:AU32" si="20">IF(AS6="ma",(DATE(AR$3,AR$2,AR6)-DATE(AR$3,1,1)+7)/7,"")</f>
        <v/>
      </c>
      <c r="AV6" s="699"/>
      <c r="AW6" s="700"/>
      <c r="AX6" s="701"/>
      <c r="AY6" s="146">
        <f t="shared" ref="AY6:AY34" si="21">IF(ISNUMBER(AY5),AY5+1,1)</f>
        <v>2</v>
      </c>
      <c r="AZ6" s="147" t="str">
        <f t="shared" ref="AZ6:AZ34" si="22">CHOOSE(MOD(WEEKDAY(DATE(AY$3,AY$2,AY6)),7)+1,"lø","sø","ma","ti","on","to","fr",)</f>
        <v>to</v>
      </c>
      <c r="BA6" s="436" t="s">
        <v>130</v>
      </c>
      <c r="BB6" s="149" t="str">
        <f t="shared" ref="BB6:BB34" si="23">IF(AZ6="ma",(DATE(AY$3,AY$2,AY6)-DATE(AY$3,1,1)+7)/7,"")</f>
        <v/>
      </c>
      <c r="BC6" s="699"/>
      <c r="BD6" s="700"/>
      <c r="BE6" s="701"/>
      <c r="BF6" s="146">
        <f t="shared" ref="BF6:BF34" si="24">IF(ISNUMBER(BF5),BF5+1,1)</f>
        <v>2</v>
      </c>
      <c r="BG6" s="147" t="str">
        <f t="shared" ref="BG6:BG34" si="25">CHOOSE(MOD(WEEKDAY(DATE(BF$3,BF$2,BF6)),7)+1,"lø","sø","ma","ti","on","to","fr",)</f>
        <v>sø</v>
      </c>
      <c r="BH6" s="436" t="s">
        <v>62</v>
      </c>
      <c r="BI6" s="149" t="str">
        <f t="shared" ref="BI6:BI34" si="26">IF(BG6="ma",(DATE(BF$3,BF$2,BF6)-DATE(BF$3,1,1)+7)/7,"")</f>
        <v/>
      </c>
      <c r="BJ6" s="699" t="s">
        <v>201</v>
      </c>
      <c r="BK6" s="700"/>
      <c r="BL6" s="701"/>
      <c r="BM6" s="146">
        <f t="shared" ref="BM6:BM34" si="27">IF(ISNUMBER(BM5),BM5+1,1)</f>
        <v>2</v>
      </c>
      <c r="BN6" s="147" t="str">
        <f t="shared" ref="BN6:BN34" si="28">CHOOSE(MOD(WEEKDAY(DATE(BM$3,BM$2,BM6)),7)+1,"lø","sø","ma","ti","on","to","fr",)</f>
        <v>ti</v>
      </c>
      <c r="BO6" s="436" t="s">
        <v>130</v>
      </c>
      <c r="BP6" s="149" t="str">
        <f t="shared" ref="BP6:BP34" si="29">IF(BN6="ma",(DATE(BM$3,BM$2,BM6)-DATE(BM$3,1,1)+7)/7,"")</f>
        <v/>
      </c>
      <c r="BQ6" s="699"/>
      <c r="BR6" s="700"/>
      <c r="BS6" s="701"/>
      <c r="BT6" s="146">
        <f t="shared" ref="BT6:BT34" si="30">IF(ISNUMBER(BT5),BT5+1,1)</f>
        <v>2</v>
      </c>
      <c r="BU6" s="147" t="str">
        <f t="shared" ref="BU6:BU34" si="31">CHOOSE(MOD(WEEKDAY(DATE(BT$3,BT$2,BT6)),7)+1,"lø","sø","ma","ti","on","to","fr",)</f>
        <v>fr</v>
      </c>
      <c r="BV6" s="436" t="s">
        <v>130</v>
      </c>
      <c r="BW6" s="149" t="str">
        <f t="shared" ref="BW6:BW34" si="32">IF(BU6="ma",(DATE(BT$3,BT$2,BT6)-DATE(BT$3,1,1)+7)/7,"")</f>
        <v/>
      </c>
      <c r="BX6" s="699"/>
      <c r="BY6" s="700"/>
      <c r="BZ6" s="701"/>
      <c r="CA6" s="146">
        <f t="shared" ref="CA6:CA34" si="33">IF(ISNUMBER(CA5),CA5+1,1)</f>
        <v>2</v>
      </c>
      <c r="CB6" s="147" t="str">
        <f t="shared" ref="CB6:CB34" si="34">CHOOSE(MOD(WEEKDAY(DATE(CA$3,CA$2,CA6)),7)+1,"lø","sø","ma","ti","on","to","fr",)</f>
        <v>sø</v>
      </c>
      <c r="CC6" s="436" t="s">
        <v>62</v>
      </c>
      <c r="CD6" s="149" t="str">
        <f t="shared" ref="CD6:CD34" si="35">IF(CB6="ma",(DATE(CA$3,CA$2,CA6)-DATE(CA$3,1,1)+7)/7,"")</f>
        <v/>
      </c>
      <c r="CE6" s="702"/>
      <c r="CF6" s="700"/>
      <c r="CG6" s="701"/>
      <c r="CH6" s="150"/>
      <c r="CI6" s="151"/>
      <c r="CJ6" s="152"/>
      <c r="CK6" s="152"/>
      <c r="CL6" s="152"/>
    </row>
    <row r="7" spans="1:90" ht="18" customHeight="1">
      <c r="A7" s="697"/>
      <c r="B7" s="146">
        <f t="shared" si="0"/>
        <v>3</v>
      </c>
      <c r="C7" s="147" t="str">
        <f t="shared" si="1"/>
        <v>on</v>
      </c>
      <c r="D7" s="436" t="s">
        <v>130</v>
      </c>
      <c r="E7" s="149" t="str">
        <f t="shared" si="2"/>
        <v/>
      </c>
      <c r="F7" s="699"/>
      <c r="G7" s="700"/>
      <c r="H7" s="701"/>
      <c r="I7" s="146">
        <f t="shared" si="3"/>
        <v>3</v>
      </c>
      <c r="J7" s="147" t="str">
        <f t="shared" si="4"/>
        <v>lø</v>
      </c>
      <c r="K7" s="436" t="s">
        <v>62</v>
      </c>
      <c r="L7" s="149" t="str">
        <f t="shared" si="5"/>
        <v/>
      </c>
      <c r="M7" s="696"/>
      <c r="N7" s="694"/>
      <c r="O7" s="695"/>
      <c r="P7" s="146">
        <f t="shared" si="6"/>
        <v>3</v>
      </c>
      <c r="Q7" s="147" t="str">
        <f t="shared" si="7"/>
        <v>ma</v>
      </c>
      <c r="R7" s="436" t="s">
        <v>130</v>
      </c>
      <c r="S7" s="149">
        <f t="shared" si="8"/>
        <v>40.285714285714285</v>
      </c>
      <c r="T7" s="699"/>
      <c r="U7" s="700"/>
      <c r="V7" s="701"/>
      <c r="W7" s="146">
        <f t="shared" si="9"/>
        <v>3</v>
      </c>
      <c r="X7" s="147" t="str">
        <f t="shared" si="10"/>
        <v>to</v>
      </c>
      <c r="Y7" s="436" t="s">
        <v>130</v>
      </c>
      <c r="Z7" s="149" t="str">
        <f t="shared" si="11"/>
        <v/>
      </c>
      <c r="AA7" s="699"/>
      <c r="AB7" s="700"/>
      <c r="AC7" s="701"/>
      <c r="AD7" s="146">
        <f t="shared" si="12"/>
        <v>3</v>
      </c>
      <c r="AE7" s="147" t="str">
        <f t="shared" si="13"/>
        <v>lø</v>
      </c>
      <c r="AF7" s="436" t="s">
        <v>62</v>
      </c>
      <c r="AG7" s="149" t="str">
        <f t="shared" si="14"/>
        <v/>
      </c>
      <c r="AH7" s="699"/>
      <c r="AI7" s="700"/>
      <c r="AJ7" s="701"/>
      <c r="AK7" s="146">
        <f t="shared" si="15"/>
        <v>3</v>
      </c>
      <c r="AL7" s="147" t="str">
        <f t="shared" si="16"/>
        <v>ti</v>
      </c>
      <c r="AM7" s="148" t="s">
        <v>130</v>
      </c>
      <c r="AN7" s="149" t="str">
        <f t="shared" si="17"/>
        <v/>
      </c>
      <c r="AO7" s="699"/>
      <c r="AP7" s="700"/>
      <c r="AQ7" s="701"/>
      <c r="AR7" s="146">
        <f t="shared" si="18"/>
        <v>3</v>
      </c>
      <c r="AS7" s="147" t="str">
        <f t="shared" si="19"/>
        <v>fr</v>
      </c>
      <c r="AT7" s="436" t="s">
        <v>130</v>
      </c>
      <c r="AU7" s="149" t="str">
        <f t="shared" si="20"/>
        <v/>
      </c>
      <c r="AV7" s="699"/>
      <c r="AW7" s="700"/>
      <c r="AX7" s="701"/>
      <c r="AY7" s="146">
        <f t="shared" si="21"/>
        <v>3</v>
      </c>
      <c r="AZ7" s="147" t="str">
        <f t="shared" si="22"/>
        <v>fr</v>
      </c>
      <c r="BA7" s="436" t="s">
        <v>130</v>
      </c>
      <c r="BB7" s="149" t="str">
        <f t="shared" si="23"/>
        <v/>
      </c>
      <c r="BC7" s="699"/>
      <c r="BD7" s="700"/>
      <c r="BE7" s="701"/>
      <c r="BF7" s="146">
        <f t="shared" si="24"/>
        <v>3</v>
      </c>
      <c r="BG7" s="147" t="str">
        <f t="shared" si="25"/>
        <v>ma</v>
      </c>
      <c r="BH7" s="436" t="s">
        <v>130</v>
      </c>
      <c r="BI7" s="149">
        <f t="shared" si="26"/>
        <v>14.142857142857142</v>
      </c>
      <c r="BJ7" s="699"/>
      <c r="BK7" s="700"/>
      <c r="BL7" s="701"/>
      <c r="BM7" s="146">
        <f t="shared" si="27"/>
        <v>3</v>
      </c>
      <c r="BN7" s="147" t="str">
        <f t="shared" si="28"/>
        <v>on</v>
      </c>
      <c r="BO7" s="436" t="s">
        <v>130</v>
      </c>
      <c r="BP7" s="149" t="str">
        <f t="shared" si="29"/>
        <v/>
      </c>
      <c r="BQ7" s="699"/>
      <c r="BR7" s="700"/>
      <c r="BS7" s="701"/>
      <c r="BT7" s="146">
        <f t="shared" si="30"/>
        <v>3</v>
      </c>
      <c r="BU7" s="147" t="str">
        <f t="shared" si="31"/>
        <v>lø</v>
      </c>
      <c r="BV7" s="436" t="s">
        <v>62</v>
      </c>
      <c r="BW7" s="149" t="str">
        <f t="shared" si="32"/>
        <v/>
      </c>
      <c r="BX7" s="699"/>
      <c r="BY7" s="700"/>
      <c r="BZ7" s="701"/>
      <c r="CA7" s="146">
        <f t="shared" si="33"/>
        <v>3</v>
      </c>
      <c r="CB7" s="147" t="str">
        <f t="shared" si="34"/>
        <v>ma</v>
      </c>
      <c r="CC7" s="436" t="s">
        <v>130</v>
      </c>
      <c r="CD7" s="149">
        <f t="shared" si="35"/>
        <v>27.142857142857142</v>
      </c>
      <c r="CE7" s="702"/>
      <c r="CF7" s="700"/>
      <c r="CG7" s="701"/>
      <c r="CH7" s="150"/>
      <c r="CI7" s="151"/>
      <c r="CJ7" s="152"/>
      <c r="CK7" s="152"/>
      <c r="CL7" s="152"/>
    </row>
    <row r="8" spans="1:90" ht="18" customHeight="1">
      <c r="A8" s="697"/>
      <c r="B8" s="146">
        <f t="shared" si="0"/>
        <v>4</v>
      </c>
      <c r="C8" s="147" t="str">
        <f t="shared" si="1"/>
        <v>to</v>
      </c>
      <c r="D8" s="436" t="s">
        <v>130</v>
      </c>
      <c r="E8" s="149" t="str">
        <f t="shared" si="2"/>
        <v/>
      </c>
      <c r="F8" s="699"/>
      <c r="G8" s="700"/>
      <c r="H8" s="701"/>
      <c r="I8" s="146">
        <f t="shared" si="3"/>
        <v>4</v>
      </c>
      <c r="J8" s="147" t="str">
        <f t="shared" si="4"/>
        <v>sø</v>
      </c>
      <c r="K8" s="436" t="s">
        <v>62</v>
      </c>
      <c r="L8" s="149" t="str">
        <f t="shared" si="5"/>
        <v/>
      </c>
      <c r="M8" s="696"/>
      <c r="N8" s="694"/>
      <c r="O8" s="695"/>
      <c r="P8" s="146">
        <f t="shared" si="6"/>
        <v>4</v>
      </c>
      <c r="Q8" s="147" t="str">
        <f t="shared" si="7"/>
        <v>ti</v>
      </c>
      <c r="R8" s="436" t="s">
        <v>130</v>
      </c>
      <c r="S8" s="149" t="str">
        <f t="shared" si="8"/>
        <v/>
      </c>
      <c r="T8" s="699"/>
      <c r="U8" s="700"/>
      <c r="V8" s="701"/>
      <c r="W8" s="146">
        <f t="shared" si="9"/>
        <v>4</v>
      </c>
      <c r="X8" s="147" t="str">
        <f t="shared" si="10"/>
        <v>fr</v>
      </c>
      <c r="Y8" s="436" t="s">
        <v>130</v>
      </c>
      <c r="Z8" s="149" t="str">
        <f t="shared" si="11"/>
        <v/>
      </c>
      <c r="AA8" s="699"/>
      <c r="AB8" s="700"/>
      <c r="AC8" s="701"/>
      <c r="AD8" s="146">
        <f t="shared" si="12"/>
        <v>4</v>
      </c>
      <c r="AE8" s="147" t="str">
        <f t="shared" si="13"/>
        <v>sø</v>
      </c>
      <c r="AF8" s="436" t="s">
        <v>62</v>
      </c>
      <c r="AG8" s="149" t="str">
        <f t="shared" si="14"/>
        <v/>
      </c>
      <c r="AH8" s="699"/>
      <c r="AI8" s="700"/>
      <c r="AJ8" s="701"/>
      <c r="AK8" s="146">
        <f t="shared" si="15"/>
        <v>4</v>
      </c>
      <c r="AL8" s="147" t="str">
        <f t="shared" si="16"/>
        <v>on</v>
      </c>
      <c r="AM8" s="436" t="s">
        <v>130</v>
      </c>
      <c r="AN8" s="149" t="str">
        <f t="shared" si="17"/>
        <v/>
      </c>
      <c r="AO8" s="699"/>
      <c r="AP8" s="700"/>
      <c r="AQ8" s="701"/>
      <c r="AR8" s="146">
        <f t="shared" si="18"/>
        <v>4</v>
      </c>
      <c r="AS8" s="147" t="str">
        <f t="shared" si="19"/>
        <v>lø</v>
      </c>
      <c r="AT8" s="436" t="s">
        <v>62</v>
      </c>
      <c r="AU8" s="149" t="str">
        <f t="shared" si="20"/>
        <v/>
      </c>
      <c r="AV8" s="699"/>
      <c r="AW8" s="700"/>
      <c r="AX8" s="701"/>
      <c r="AY8" s="146">
        <f t="shared" si="21"/>
        <v>4</v>
      </c>
      <c r="AZ8" s="147" t="str">
        <f t="shared" si="22"/>
        <v>lø</v>
      </c>
      <c r="BA8" s="436" t="s">
        <v>62</v>
      </c>
      <c r="BB8" s="149" t="str">
        <f t="shared" si="23"/>
        <v/>
      </c>
      <c r="BC8" s="699"/>
      <c r="BD8" s="700"/>
      <c r="BE8" s="701"/>
      <c r="BF8" s="146">
        <f t="shared" si="24"/>
        <v>4</v>
      </c>
      <c r="BG8" s="147" t="str">
        <f t="shared" si="25"/>
        <v>ti</v>
      </c>
      <c r="BH8" s="436" t="s">
        <v>130</v>
      </c>
      <c r="BI8" s="149" t="str">
        <f t="shared" si="26"/>
        <v/>
      </c>
      <c r="BJ8" s="699"/>
      <c r="BK8" s="700"/>
      <c r="BL8" s="701"/>
      <c r="BM8" s="146">
        <f t="shared" si="27"/>
        <v>4</v>
      </c>
      <c r="BN8" s="147" t="str">
        <f t="shared" si="28"/>
        <v>to</v>
      </c>
      <c r="BO8" s="436" t="s">
        <v>130</v>
      </c>
      <c r="BP8" s="149" t="str">
        <f t="shared" si="29"/>
        <v/>
      </c>
      <c r="BQ8" s="699"/>
      <c r="BR8" s="700"/>
      <c r="BS8" s="701"/>
      <c r="BT8" s="146">
        <f t="shared" si="30"/>
        <v>4</v>
      </c>
      <c r="BU8" s="147" t="str">
        <f t="shared" si="31"/>
        <v>sø</v>
      </c>
      <c r="BV8" s="436" t="s">
        <v>62</v>
      </c>
      <c r="BW8" s="149" t="str">
        <f t="shared" si="32"/>
        <v/>
      </c>
      <c r="BX8" s="699"/>
      <c r="BY8" s="700"/>
      <c r="BZ8" s="701"/>
      <c r="CA8" s="146">
        <f t="shared" si="33"/>
        <v>4</v>
      </c>
      <c r="CB8" s="147" t="str">
        <f t="shared" si="34"/>
        <v>ti</v>
      </c>
      <c r="CC8" s="436" t="s">
        <v>130</v>
      </c>
      <c r="CD8" s="149" t="str">
        <f t="shared" si="35"/>
        <v/>
      </c>
      <c r="CE8" s="699"/>
      <c r="CF8" s="700"/>
      <c r="CG8" s="701"/>
      <c r="CH8" s="150"/>
      <c r="CI8" s="151"/>
      <c r="CJ8" s="152"/>
      <c r="CK8" s="152"/>
      <c r="CL8" s="152"/>
    </row>
    <row r="9" spans="1:90" ht="18" customHeight="1">
      <c r="A9" s="697"/>
      <c r="B9" s="146">
        <f t="shared" si="0"/>
        <v>5</v>
      </c>
      <c r="C9" s="147" t="str">
        <f t="shared" si="1"/>
        <v>fr</v>
      </c>
      <c r="D9" s="436" t="s">
        <v>130</v>
      </c>
      <c r="E9" s="149" t="str">
        <f t="shared" si="2"/>
        <v/>
      </c>
      <c r="F9" s="702"/>
      <c r="G9" s="700"/>
      <c r="H9" s="701"/>
      <c r="I9" s="146">
        <f t="shared" si="3"/>
        <v>5</v>
      </c>
      <c r="J9" s="147" t="str">
        <f t="shared" si="4"/>
        <v>ma</v>
      </c>
      <c r="K9" s="436" t="s">
        <v>130</v>
      </c>
      <c r="L9" s="149">
        <f t="shared" si="5"/>
        <v>36.285714285714285</v>
      </c>
      <c r="M9" s="696"/>
      <c r="N9" s="694"/>
      <c r="O9" s="695"/>
      <c r="P9" s="146">
        <f t="shared" si="6"/>
        <v>5</v>
      </c>
      <c r="Q9" s="147" t="str">
        <f t="shared" si="7"/>
        <v>on</v>
      </c>
      <c r="R9" s="436" t="s">
        <v>130</v>
      </c>
      <c r="S9" s="149" t="str">
        <f t="shared" si="8"/>
        <v/>
      </c>
      <c r="T9" s="699"/>
      <c r="U9" s="700"/>
      <c r="V9" s="701"/>
      <c r="W9" s="146">
        <f t="shared" si="9"/>
        <v>5</v>
      </c>
      <c r="X9" s="147" t="str">
        <f t="shared" si="10"/>
        <v>lø</v>
      </c>
      <c r="Y9" s="436" t="s">
        <v>62</v>
      </c>
      <c r="Z9" s="149" t="str">
        <f t="shared" si="11"/>
        <v/>
      </c>
      <c r="AA9" s="699"/>
      <c r="AB9" s="700"/>
      <c r="AC9" s="701"/>
      <c r="AD9" s="146">
        <f t="shared" si="12"/>
        <v>5</v>
      </c>
      <c r="AE9" s="147" t="str">
        <f t="shared" si="13"/>
        <v>ma</v>
      </c>
      <c r="AF9" s="436" t="s">
        <v>130</v>
      </c>
      <c r="AG9" s="149">
        <f t="shared" si="14"/>
        <v>49.285714285714285</v>
      </c>
      <c r="AH9" s="699"/>
      <c r="AI9" s="700"/>
      <c r="AJ9" s="701"/>
      <c r="AK9" s="146">
        <f t="shared" si="15"/>
        <v>5</v>
      </c>
      <c r="AL9" s="147" t="str">
        <f t="shared" si="16"/>
        <v>to</v>
      </c>
      <c r="AM9" s="436" t="s">
        <v>130</v>
      </c>
      <c r="AN9" s="149" t="str">
        <f t="shared" si="17"/>
        <v/>
      </c>
      <c r="AO9" s="699"/>
      <c r="AP9" s="700"/>
      <c r="AQ9" s="701"/>
      <c r="AR9" s="146">
        <f t="shared" si="18"/>
        <v>5</v>
      </c>
      <c r="AS9" s="147" t="str">
        <f t="shared" si="19"/>
        <v>sø</v>
      </c>
      <c r="AT9" s="436" t="s">
        <v>62</v>
      </c>
      <c r="AU9" s="149" t="str">
        <f t="shared" si="20"/>
        <v/>
      </c>
      <c r="AV9" s="699"/>
      <c r="AW9" s="700"/>
      <c r="AX9" s="701"/>
      <c r="AY9" s="146">
        <f t="shared" si="21"/>
        <v>5</v>
      </c>
      <c r="AZ9" s="147" t="str">
        <f t="shared" si="22"/>
        <v>sø</v>
      </c>
      <c r="BA9" s="436" t="s">
        <v>62</v>
      </c>
      <c r="BB9" s="149" t="str">
        <f t="shared" si="23"/>
        <v/>
      </c>
      <c r="BC9" s="699"/>
      <c r="BD9" s="700"/>
      <c r="BE9" s="701"/>
      <c r="BF9" s="146">
        <f t="shared" si="24"/>
        <v>5</v>
      </c>
      <c r="BG9" s="147" t="str">
        <f t="shared" si="25"/>
        <v>on</v>
      </c>
      <c r="BH9" s="436" t="s">
        <v>130</v>
      </c>
      <c r="BI9" s="149" t="str">
        <f t="shared" si="26"/>
        <v/>
      </c>
      <c r="BJ9" s="699"/>
      <c r="BK9" s="700"/>
      <c r="BL9" s="701"/>
      <c r="BM9" s="146">
        <f t="shared" si="27"/>
        <v>5</v>
      </c>
      <c r="BN9" s="147" t="str">
        <f t="shared" si="28"/>
        <v>fr</v>
      </c>
      <c r="BO9" s="436" t="s">
        <v>57</v>
      </c>
      <c r="BP9" s="149" t="str">
        <f t="shared" si="29"/>
        <v/>
      </c>
      <c r="BQ9" s="699" t="s">
        <v>190</v>
      </c>
      <c r="BR9" s="700"/>
      <c r="BS9" s="701"/>
      <c r="BT9" s="146">
        <f t="shared" si="30"/>
        <v>5</v>
      </c>
      <c r="BU9" s="147" t="str">
        <f t="shared" si="31"/>
        <v>ma</v>
      </c>
      <c r="BV9" s="436" t="s">
        <v>130</v>
      </c>
      <c r="BW9" s="149">
        <f t="shared" si="32"/>
        <v>23.142857142857142</v>
      </c>
      <c r="BX9" s="699" t="s">
        <v>264</v>
      </c>
      <c r="BY9" s="700"/>
      <c r="BZ9" s="701"/>
      <c r="CA9" s="146">
        <f t="shared" si="33"/>
        <v>5</v>
      </c>
      <c r="CB9" s="147" t="str">
        <f t="shared" si="34"/>
        <v>on</v>
      </c>
      <c r="CC9" s="436" t="s">
        <v>130</v>
      </c>
      <c r="CD9" s="149" t="str">
        <f t="shared" si="35"/>
        <v/>
      </c>
      <c r="CE9" s="699"/>
      <c r="CF9" s="700"/>
      <c r="CG9" s="701"/>
      <c r="CH9" s="150"/>
      <c r="CI9" s="151"/>
      <c r="CJ9" s="152"/>
      <c r="CK9" s="152"/>
      <c r="CL9" s="152"/>
    </row>
    <row r="10" spans="1:90" ht="18" customHeight="1">
      <c r="A10" s="712" t="s">
        <v>261</v>
      </c>
      <c r="B10" s="146">
        <f t="shared" si="0"/>
        <v>6</v>
      </c>
      <c r="C10" s="147" t="str">
        <f t="shared" si="1"/>
        <v>lø</v>
      </c>
      <c r="D10" s="436" t="s">
        <v>62</v>
      </c>
      <c r="E10" s="149" t="str">
        <f t="shared" si="2"/>
        <v/>
      </c>
      <c r="F10" s="702"/>
      <c r="G10" s="700"/>
      <c r="H10" s="701"/>
      <c r="I10" s="146">
        <f t="shared" si="3"/>
        <v>6</v>
      </c>
      <c r="J10" s="147" t="str">
        <f t="shared" si="4"/>
        <v>ti</v>
      </c>
      <c r="K10" s="436" t="s">
        <v>130</v>
      </c>
      <c r="L10" s="149" t="str">
        <f t="shared" si="5"/>
        <v/>
      </c>
      <c r="M10" s="696"/>
      <c r="N10" s="694"/>
      <c r="O10" s="695"/>
      <c r="P10" s="146">
        <f t="shared" si="6"/>
        <v>6</v>
      </c>
      <c r="Q10" s="147" t="str">
        <f t="shared" si="7"/>
        <v>to</v>
      </c>
      <c r="R10" s="436" t="s">
        <v>130</v>
      </c>
      <c r="S10" s="149" t="str">
        <f t="shared" si="8"/>
        <v/>
      </c>
      <c r="T10" s="699"/>
      <c r="U10" s="700"/>
      <c r="V10" s="701"/>
      <c r="W10" s="146">
        <f t="shared" si="9"/>
        <v>6</v>
      </c>
      <c r="X10" s="147" t="str">
        <f t="shared" si="10"/>
        <v>sø</v>
      </c>
      <c r="Y10" s="436" t="s">
        <v>62</v>
      </c>
      <c r="Z10" s="149" t="str">
        <f t="shared" si="11"/>
        <v/>
      </c>
      <c r="AA10" s="699"/>
      <c r="AB10" s="700"/>
      <c r="AC10" s="701"/>
      <c r="AD10" s="146">
        <f t="shared" si="12"/>
        <v>6</v>
      </c>
      <c r="AE10" s="147" t="str">
        <f t="shared" si="13"/>
        <v>ti</v>
      </c>
      <c r="AF10" s="436" t="s">
        <v>130</v>
      </c>
      <c r="AG10" s="149" t="str">
        <f t="shared" si="14"/>
        <v/>
      </c>
      <c r="AH10" s="699"/>
      <c r="AI10" s="700"/>
      <c r="AJ10" s="701"/>
      <c r="AK10" s="146">
        <f t="shared" si="15"/>
        <v>6</v>
      </c>
      <c r="AL10" s="147" t="str">
        <f t="shared" si="16"/>
        <v>fr</v>
      </c>
      <c r="AM10" s="436" t="s">
        <v>130</v>
      </c>
      <c r="AN10" s="149" t="str">
        <f t="shared" si="17"/>
        <v/>
      </c>
      <c r="AO10" s="699"/>
      <c r="AP10" s="700"/>
      <c r="AQ10" s="701"/>
      <c r="AR10" s="146">
        <f t="shared" si="18"/>
        <v>6</v>
      </c>
      <c r="AS10" s="147" t="str">
        <f t="shared" si="19"/>
        <v>ma</v>
      </c>
      <c r="AT10" s="436" t="s">
        <v>130</v>
      </c>
      <c r="AU10" s="149">
        <f t="shared" si="20"/>
        <v>6.1428571428571432</v>
      </c>
      <c r="AV10" s="699"/>
      <c r="AW10" s="700"/>
      <c r="AX10" s="701"/>
      <c r="AY10" s="146">
        <f t="shared" si="21"/>
        <v>6</v>
      </c>
      <c r="AZ10" s="147" t="str">
        <f t="shared" si="22"/>
        <v>ma</v>
      </c>
      <c r="BA10" s="436" t="s">
        <v>130</v>
      </c>
      <c r="BB10" s="149">
        <f t="shared" si="23"/>
        <v>10.142857142857142</v>
      </c>
      <c r="BC10" s="699"/>
      <c r="BD10" s="700"/>
      <c r="BE10" s="701"/>
      <c r="BF10" s="146">
        <f t="shared" si="24"/>
        <v>6</v>
      </c>
      <c r="BG10" s="147" t="str">
        <f t="shared" si="25"/>
        <v>to</v>
      </c>
      <c r="BH10" s="436" t="s">
        <v>57</v>
      </c>
      <c r="BI10" s="149" t="str">
        <f t="shared" si="26"/>
        <v/>
      </c>
      <c r="BJ10" s="699" t="s">
        <v>61</v>
      </c>
      <c r="BK10" s="700"/>
      <c r="BL10" s="701"/>
      <c r="BM10" s="146">
        <f t="shared" si="27"/>
        <v>6</v>
      </c>
      <c r="BN10" s="147" t="str">
        <f t="shared" si="28"/>
        <v>lø</v>
      </c>
      <c r="BO10" s="436" t="s">
        <v>62</v>
      </c>
      <c r="BP10" s="149" t="str">
        <f t="shared" si="29"/>
        <v/>
      </c>
      <c r="BQ10" s="699"/>
      <c r="BR10" s="700"/>
      <c r="BS10" s="701"/>
      <c r="BT10" s="146">
        <f t="shared" si="30"/>
        <v>6</v>
      </c>
      <c r="BU10" s="147" t="str">
        <f t="shared" si="31"/>
        <v>ti</v>
      </c>
      <c r="BV10" s="436" t="s">
        <v>130</v>
      </c>
      <c r="BW10" s="149" t="str">
        <f t="shared" si="32"/>
        <v/>
      </c>
      <c r="BX10" s="699"/>
      <c r="BY10" s="700"/>
      <c r="BZ10" s="701"/>
      <c r="CA10" s="146">
        <f t="shared" si="33"/>
        <v>6</v>
      </c>
      <c r="CB10" s="147" t="str">
        <f t="shared" si="34"/>
        <v>to</v>
      </c>
      <c r="CC10" s="436" t="s">
        <v>130</v>
      </c>
      <c r="CD10" s="149" t="str">
        <f t="shared" si="35"/>
        <v/>
      </c>
      <c r="CE10" s="702"/>
      <c r="CF10" s="700"/>
      <c r="CG10" s="701"/>
      <c r="CH10" s="150"/>
      <c r="CI10" s="151"/>
      <c r="CJ10" s="152"/>
      <c r="CK10" s="152"/>
      <c r="CL10" s="152"/>
    </row>
    <row r="11" spans="1:90" ht="18" customHeight="1">
      <c r="A11" s="712"/>
      <c r="B11" s="146">
        <f t="shared" si="0"/>
        <v>7</v>
      </c>
      <c r="C11" s="147" t="str">
        <f t="shared" si="1"/>
        <v>sø</v>
      </c>
      <c r="D11" s="436" t="s">
        <v>62</v>
      </c>
      <c r="E11" s="149" t="str">
        <f t="shared" si="2"/>
        <v/>
      </c>
      <c r="F11" s="702"/>
      <c r="G11" s="700"/>
      <c r="H11" s="701"/>
      <c r="I11" s="146">
        <f t="shared" si="3"/>
        <v>7</v>
      </c>
      <c r="J11" s="147" t="str">
        <f t="shared" si="4"/>
        <v>on</v>
      </c>
      <c r="K11" s="148" t="s">
        <v>130</v>
      </c>
      <c r="L11" s="149" t="str">
        <f t="shared" si="5"/>
        <v/>
      </c>
      <c r="M11" s="696"/>
      <c r="N11" s="694"/>
      <c r="O11" s="695"/>
      <c r="P11" s="146">
        <f t="shared" si="6"/>
        <v>7</v>
      </c>
      <c r="Q11" s="147" t="str">
        <f t="shared" si="7"/>
        <v>fr</v>
      </c>
      <c r="R11" s="436" t="s">
        <v>130</v>
      </c>
      <c r="S11" s="149" t="str">
        <f t="shared" si="8"/>
        <v/>
      </c>
      <c r="T11" s="699"/>
      <c r="U11" s="700"/>
      <c r="V11" s="701"/>
      <c r="W11" s="146">
        <f t="shared" si="9"/>
        <v>7</v>
      </c>
      <c r="X11" s="147" t="str">
        <f t="shared" si="10"/>
        <v>ma</v>
      </c>
      <c r="Y11" s="436" t="s">
        <v>130</v>
      </c>
      <c r="Z11" s="149">
        <f t="shared" si="11"/>
        <v>45.285714285714285</v>
      </c>
      <c r="AA11" s="699"/>
      <c r="AB11" s="700"/>
      <c r="AC11" s="701"/>
      <c r="AD11" s="146">
        <f t="shared" si="12"/>
        <v>7</v>
      </c>
      <c r="AE11" s="147" t="str">
        <f t="shared" si="13"/>
        <v>on</v>
      </c>
      <c r="AF11" s="436" t="s">
        <v>130</v>
      </c>
      <c r="AG11" s="149" t="str">
        <f t="shared" si="14"/>
        <v/>
      </c>
      <c r="AH11" s="699"/>
      <c r="AI11" s="700"/>
      <c r="AJ11" s="701"/>
      <c r="AK11" s="146">
        <f t="shared" si="15"/>
        <v>7</v>
      </c>
      <c r="AL11" s="147" t="str">
        <f t="shared" si="16"/>
        <v>lø</v>
      </c>
      <c r="AM11" s="436" t="s">
        <v>62</v>
      </c>
      <c r="AN11" s="149" t="str">
        <f t="shared" si="17"/>
        <v/>
      </c>
      <c r="AO11" s="699"/>
      <c r="AP11" s="700"/>
      <c r="AQ11" s="701"/>
      <c r="AR11" s="146">
        <f t="shared" si="18"/>
        <v>7</v>
      </c>
      <c r="AS11" s="147" t="str">
        <f t="shared" si="19"/>
        <v>ti</v>
      </c>
      <c r="AT11" s="436" t="s">
        <v>130</v>
      </c>
      <c r="AU11" s="149" t="str">
        <f t="shared" si="20"/>
        <v/>
      </c>
      <c r="AV11" s="699"/>
      <c r="AW11" s="700"/>
      <c r="AX11" s="701"/>
      <c r="AY11" s="146">
        <f t="shared" si="21"/>
        <v>7</v>
      </c>
      <c r="AZ11" s="147" t="str">
        <f t="shared" si="22"/>
        <v>ti</v>
      </c>
      <c r="BA11" s="436" t="s">
        <v>130</v>
      </c>
      <c r="BB11" s="149" t="str">
        <f t="shared" si="23"/>
        <v/>
      </c>
      <c r="BC11" s="699"/>
      <c r="BD11" s="700"/>
      <c r="BE11" s="701"/>
      <c r="BF11" s="146">
        <f t="shared" si="24"/>
        <v>7</v>
      </c>
      <c r="BG11" s="147" t="str">
        <f t="shared" si="25"/>
        <v>fr</v>
      </c>
      <c r="BH11" s="436" t="s">
        <v>57</v>
      </c>
      <c r="BI11" s="149" t="str">
        <f t="shared" si="26"/>
        <v/>
      </c>
      <c r="BJ11" s="699" t="s">
        <v>94</v>
      </c>
      <c r="BK11" s="700"/>
      <c r="BL11" s="701"/>
      <c r="BM11" s="146">
        <f t="shared" si="27"/>
        <v>7</v>
      </c>
      <c r="BN11" s="147" t="str">
        <f t="shared" si="28"/>
        <v>sø</v>
      </c>
      <c r="BO11" s="436" t="s">
        <v>62</v>
      </c>
      <c r="BP11" s="149" t="str">
        <f t="shared" si="29"/>
        <v/>
      </c>
      <c r="BQ11" s="699"/>
      <c r="BR11" s="700"/>
      <c r="BS11" s="701"/>
      <c r="BT11" s="146">
        <f t="shared" si="30"/>
        <v>7</v>
      </c>
      <c r="BU11" s="147" t="str">
        <f t="shared" si="31"/>
        <v>on</v>
      </c>
      <c r="BV11" s="436" t="s">
        <v>130</v>
      </c>
      <c r="BW11" s="149" t="str">
        <f t="shared" si="32"/>
        <v/>
      </c>
      <c r="BX11" s="699"/>
      <c r="BY11" s="700"/>
      <c r="BZ11" s="701"/>
      <c r="CA11" s="146">
        <f t="shared" si="33"/>
        <v>7</v>
      </c>
      <c r="CB11" s="147" t="str">
        <f t="shared" si="34"/>
        <v>fr</v>
      </c>
      <c r="CC11" s="436" t="s">
        <v>130</v>
      </c>
      <c r="CD11" s="149" t="str">
        <f t="shared" si="35"/>
        <v/>
      </c>
      <c r="CE11" s="702"/>
      <c r="CF11" s="700"/>
      <c r="CG11" s="701"/>
      <c r="CH11" s="150"/>
      <c r="CI11" s="151"/>
      <c r="CJ11" s="152"/>
      <c r="CK11" s="152"/>
      <c r="CL11" s="152"/>
    </row>
    <row r="12" spans="1:90" ht="18" customHeight="1">
      <c r="A12" s="712"/>
      <c r="B12" s="146">
        <f t="shared" si="0"/>
        <v>8</v>
      </c>
      <c r="C12" s="147" t="str">
        <f t="shared" si="1"/>
        <v>ma</v>
      </c>
      <c r="D12" s="436" t="s">
        <v>130</v>
      </c>
      <c r="E12" s="149">
        <f t="shared" si="2"/>
        <v>32.285714285714285</v>
      </c>
      <c r="F12" s="702"/>
      <c r="G12" s="700"/>
      <c r="H12" s="701"/>
      <c r="I12" s="146">
        <f t="shared" si="3"/>
        <v>8</v>
      </c>
      <c r="J12" s="147" t="str">
        <f t="shared" si="4"/>
        <v>to</v>
      </c>
      <c r="K12" s="148" t="s">
        <v>130</v>
      </c>
      <c r="L12" s="149" t="str">
        <f t="shared" si="5"/>
        <v/>
      </c>
      <c r="M12" s="696"/>
      <c r="N12" s="694"/>
      <c r="O12" s="695"/>
      <c r="P12" s="146">
        <f t="shared" si="6"/>
        <v>8</v>
      </c>
      <c r="Q12" s="147" t="str">
        <f t="shared" si="7"/>
        <v>lø</v>
      </c>
      <c r="R12" s="436" t="s">
        <v>62</v>
      </c>
      <c r="S12" s="149" t="str">
        <f t="shared" si="8"/>
        <v/>
      </c>
      <c r="T12" s="699"/>
      <c r="U12" s="700"/>
      <c r="V12" s="701"/>
      <c r="W12" s="146">
        <f t="shared" si="9"/>
        <v>8</v>
      </c>
      <c r="X12" s="147" t="str">
        <f t="shared" si="10"/>
        <v>ti</v>
      </c>
      <c r="Y12" s="436" t="s">
        <v>130</v>
      </c>
      <c r="Z12" s="149" t="str">
        <f t="shared" si="11"/>
        <v/>
      </c>
      <c r="AA12" s="699"/>
      <c r="AB12" s="700"/>
      <c r="AC12" s="701"/>
      <c r="AD12" s="146">
        <f t="shared" si="12"/>
        <v>8</v>
      </c>
      <c r="AE12" s="147" t="str">
        <f t="shared" si="13"/>
        <v>to</v>
      </c>
      <c r="AF12" s="436" t="s">
        <v>130</v>
      </c>
      <c r="AG12" s="149" t="str">
        <f t="shared" si="14"/>
        <v/>
      </c>
      <c r="AH12" s="699"/>
      <c r="AI12" s="700"/>
      <c r="AJ12" s="701"/>
      <c r="AK12" s="146">
        <f t="shared" si="15"/>
        <v>8</v>
      </c>
      <c r="AL12" s="147" t="str">
        <f t="shared" si="16"/>
        <v>sø</v>
      </c>
      <c r="AM12" s="436" t="s">
        <v>62</v>
      </c>
      <c r="AN12" s="149" t="str">
        <f t="shared" si="17"/>
        <v/>
      </c>
      <c r="AO12" s="699"/>
      <c r="AP12" s="700"/>
      <c r="AQ12" s="701"/>
      <c r="AR12" s="146">
        <f t="shared" si="18"/>
        <v>8</v>
      </c>
      <c r="AS12" s="147" t="str">
        <f t="shared" si="19"/>
        <v>on</v>
      </c>
      <c r="AT12" s="436" t="s">
        <v>130</v>
      </c>
      <c r="AU12" s="149" t="str">
        <f t="shared" si="20"/>
        <v/>
      </c>
      <c r="AV12" s="699"/>
      <c r="AW12" s="700"/>
      <c r="AX12" s="701"/>
      <c r="AY12" s="146">
        <f t="shared" si="21"/>
        <v>8</v>
      </c>
      <c r="AZ12" s="147" t="str">
        <f t="shared" si="22"/>
        <v>on</v>
      </c>
      <c r="BA12" s="436" t="s">
        <v>130</v>
      </c>
      <c r="BB12" s="149" t="str">
        <f t="shared" si="23"/>
        <v/>
      </c>
      <c r="BC12" s="699"/>
      <c r="BD12" s="700"/>
      <c r="BE12" s="701"/>
      <c r="BF12" s="146">
        <f t="shared" si="24"/>
        <v>8</v>
      </c>
      <c r="BG12" s="147" t="str">
        <f t="shared" si="25"/>
        <v>lø</v>
      </c>
      <c r="BH12" s="436" t="s">
        <v>62</v>
      </c>
      <c r="BI12" s="149" t="str">
        <f t="shared" si="26"/>
        <v/>
      </c>
      <c r="BJ12" s="699"/>
      <c r="BK12" s="700"/>
      <c r="BL12" s="701"/>
      <c r="BM12" s="146">
        <f t="shared" si="27"/>
        <v>8</v>
      </c>
      <c r="BN12" s="147" t="str">
        <f t="shared" si="28"/>
        <v>ma</v>
      </c>
      <c r="BO12" s="436" t="s">
        <v>130</v>
      </c>
      <c r="BP12" s="149">
        <f t="shared" si="29"/>
        <v>19.142857142857142</v>
      </c>
      <c r="BQ12" s="702"/>
      <c r="BR12" s="700"/>
      <c r="BS12" s="701"/>
      <c r="BT12" s="146">
        <f t="shared" si="30"/>
        <v>8</v>
      </c>
      <c r="BU12" s="147" t="str">
        <f t="shared" si="31"/>
        <v>to</v>
      </c>
      <c r="BV12" s="436" t="s">
        <v>130</v>
      </c>
      <c r="BW12" s="149" t="str">
        <f t="shared" si="32"/>
        <v/>
      </c>
      <c r="BX12" s="699"/>
      <c r="BY12" s="700"/>
      <c r="BZ12" s="701"/>
      <c r="CA12" s="146">
        <f t="shared" si="33"/>
        <v>8</v>
      </c>
      <c r="CB12" s="147" t="str">
        <f t="shared" si="34"/>
        <v>lø</v>
      </c>
      <c r="CC12" s="436" t="s">
        <v>62</v>
      </c>
      <c r="CD12" s="149" t="str">
        <f t="shared" si="35"/>
        <v/>
      </c>
      <c r="CE12" s="702"/>
      <c r="CF12" s="700"/>
      <c r="CG12" s="701"/>
      <c r="CH12" s="150"/>
      <c r="CI12" s="151"/>
      <c r="CJ12" s="152"/>
      <c r="CK12" s="152"/>
      <c r="CL12" s="152"/>
    </row>
    <row r="13" spans="1:90" ht="18" customHeight="1">
      <c r="A13" s="712"/>
      <c r="B13" s="146">
        <f t="shared" si="0"/>
        <v>9</v>
      </c>
      <c r="C13" s="147" t="str">
        <f t="shared" si="1"/>
        <v>ti</v>
      </c>
      <c r="D13" s="436" t="s">
        <v>130</v>
      </c>
      <c r="E13" s="149" t="str">
        <f t="shared" si="2"/>
        <v/>
      </c>
      <c r="F13" s="702"/>
      <c r="G13" s="700"/>
      <c r="H13" s="701"/>
      <c r="I13" s="146">
        <f t="shared" si="3"/>
        <v>9</v>
      </c>
      <c r="J13" s="147" t="str">
        <f t="shared" si="4"/>
        <v>fr</v>
      </c>
      <c r="K13" s="436" t="s">
        <v>130</v>
      </c>
      <c r="L13" s="149" t="str">
        <f t="shared" si="5"/>
        <v/>
      </c>
      <c r="M13" s="696"/>
      <c r="N13" s="694"/>
      <c r="O13" s="695"/>
      <c r="P13" s="146">
        <f t="shared" si="6"/>
        <v>9</v>
      </c>
      <c r="Q13" s="147" t="str">
        <f t="shared" si="7"/>
        <v>sø</v>
      </c>
      <c r="R13" s="436" t="s">
        <v>62</v>
      </c>
      <c r="S13" s="149" t="str">
        <f t="shared" si="8"/>
        <v/>
      </c>
      <c r="T13" s="699"/>
      <c r="U13" s="700"/>
      <c r="V13" s="701"/>
      <c r="W13" s="146">
        <f t="shared" si="9"/>
        <v>9</v>
      </c>
      <c r="X13" s="147" t="str">
        <f t="shared" si="10"/>
        <v>on</v>
      </c>
      <c r="Y13" s="436" t="s">
        <v>130</v>
      </c>
      <c r="Z13" s="149" t="str">
        <f t="shared" si="11"/>
        <v/>
      </c>
      <c r="AA13" s="699"/>
      <c r="AB13" s="700"/>
      <c r="AC13" s="701"/>
      <c r="AD13" s="146">
        <f t="shared" si="12"/>
        <v>9</v>
      </c>
      <c r="AE13" s="147" t="str">
        <f t="shared" si="13"/>
        <v>fr</v>
      </c>
      <c r="AF13" s="436" t="s">
        <v>130</v>
      </c>
      <c r="AG13" s="149" t="str">
        <f t="shared" si="14"/>
        <v/>
      </c>
      <c r="AH13" s="699"/>
      <c r="AI13" s="700"/>
      <c r="AJ13" s="701"/>
      <c r="AK13" s="146">
        <f t="shared" si="15"/>
        <v>9</v>
      </c>
      <c r="AL13" s="147" t="str">
        <f t="shared" si="16"/>
        <v>ma</v>
      </c>
      <c r="AM13" s="436" t="s">
        <v>130</v>
      </c>
      <c r="AN13" s="149">
        <f t="shared" si="17"/>
        <v>2.1428571428571428</v>
      </c>
      <c r="AO13" s="699"/>
      <c r="AP13" s="700"/>
      <c r="AQ13" s="701"/>
      <c r="AR13" s="146">
        <f t="shared" si="18"/>
        <v>9</v>
      </c>
      <c r="AS13" s="147" t="str">
        <f t="shared" si="19"/>
        <v>to</v>
      </c>
      <c r="AT13" s="436" t="s">
        <v>130</v>
      </c>
      <c r="AU13" s="149" t="str">
        <f t="shared" si="20"/>
        <v/>
      </c>
      <c r="AV13" s="699"/>
      <c r="AW13" s="700"/>
      <c r="AX13" s="701"/>
      <c r="AY13" s="146">
        <f t="shared" si="21"/>
        <v>9</v>
      </c>
      <c r="AZ13" s="147" t="str">
        <f t="shared" si="22"/>
        <v>to</v>
      </c>
      <c r="BA13" s="436" t="s">
        <v>130</v>
      </c>
      <c r="BB13" s="149" t="str">
        <f t="shared" si="23"/>
        <v/>
      </c>
      <c r="BC13" s="699"/>
      <c r="BD13" s="700"/>
      <c r="BE13" s="701"/>
      <c r="BF13" s="146">
        <f t="shared" si="24"/>
        <v>9</v>
      </c>
      <c r="BG13" s="147" t="str">
        <f t="shared" si="25"/>
        <v>sø</v>
      </c>
      <c r="BH13" s="436" t="s">
        <v>62</v>
      </c>
      <c r="BI13" s="149" t="str">
        <f t="shared" si="26"/>
        <v/>
      </c>
      <c r="BJ13" s="702" t="s">
        <v>192</v>
      </c>
      <c r="BK13" s="700"/>
      <c r="BL13" s="701"/>
      <c r="BM13" s="146">
        <f t="shared" si="27"/>
        <v>9</v>
      </c>
      <c r="BN13" s="147" t="str">
        <f t="shared" si="28"/>
        <v>ti</v>
      </c>
      <c r="BO13" s="436" t="s">
        <v>130</v>
      </c>
      <c r="BP13" s="149" t="str">
        <f t="shared" si="29"/>
        <v/>
      </c>
      <c r="BQ13" s="699"/>
      <c r="BR13" s="700"/>
      <c r="BS13" s="701"/>
      <c r="BT13" s="146">
        <f t="shared" si="30"/>
        <v>9</v>
      </c>
      <c r="BU13" s="147" t="str">
        <f t="shared" si="31"/>
        <v>fr</v>
      </c>
      <c r="BV13" s="436" t="s">
        <v>130</v>
      </c>
      <c r="BW13" s="149" t="str">
        <f t="shared" si="32"/>
        <v/>
      </c>
      <c r="BX13" s="699"/>
      <c r="BY13" s="700"/>
      <c r="BZ13" s="701"/>
      <c r="CA13" s="146">
        <f t="shared" si="33"/>
        <v>9</v>
      </c>
      <c r="CB13" s="147" t="str">
        <f t="shared" si="34"/>
        <v>sø</v>
      </c>
      <c r="CC13" s="436" t="s">
        <v>62</v>
      </c>
      <c r="CD13" s="149" t="str">
        <f t="shared" si="35"/>
        <v/>
      </c>
      <c r="CE13" s="702"/>
      <c r="CF13" s="700"/>
      <c r="CG13" s="701"/>
      <c r="CH13" s="150"/>
      <c r="CI13" s="151"/>
      <c r="CJ13" s="152"/>
      <c r="CK13" s="152"/>
      <c r="CL13" s="152"/>
    </row>
    <row r="14" spans="1:90" ht="18" customHeight="1">
      <c r="A14" s="712"/>
      <c r="B14" s="146">
        <f t="shared" si="0"/>
        <v>10</v>
      </c>
      <c r="C14" s="147" t="str">
        <f t="shared" si="1"/>
        <v>on</v>
      </c>
      <c r="D14" s="436" t="s">
        <v>130</v>
      </c>
      <c r="E14" s="149" t="str">
        <f t="shared" si="2"/>
        <v/>
      </c>
      <c r="F14" s="699"/>
      <c r="G14" s="700"/>
      <c r="H14" s="701"/>
      <c r="I14" s="146">
        <f t="shared" si="3"/>
        <v>10</v>
      </c>
      <c r="J14" s="147" t="str">
        <f t="shared" si="4"/>
        <v>lø</v>
      </c>
      <c r="K14" s="436" t="s">
        <v>62</v>
      </c>
      <c r="L14" s="149" t="str">
        <f t="shared" si="5"/>
        <v/>
      </c>
      <c r="M14" s="696"/>
      <c r="N14" s="694"/>
      <c r="O14" s="695"/>
      <c r="P14" s="146">
        <f t="shared" si="6"/>
        <v>10</v>
      </c>
      <c r="Q14" s="147" t="str">
        <f t="shared" si="7"/>
        <v>ma</v>
      </c>
      <c r="R14" s="436" t="s">
        <v>130</v>
      </c>
      <c r="S14" s="149">
        <f t="shared" si="8"/>
        <v>41.285714285714285</v>
      </c>
      <c r="T14" s="699"/>
      <c r="U14" s="700"/>
      <c r="V14" s="701"/>
      <c r="W14" s="146">
        <f t="shared" si="9"/>
        <v>10</v>
      </c>
      <c r="X14" s="147" t="str">
        <f t="shared" si="10"/>
        <v>to</v>
      </c>
      <c r="Y14" s="436" t="s">
        <v>130</v>
      </c>
      <c r="Z14" s="149" t="str">
        <f t="shared" si="11"/>
        <v/>
      </c>
      <c r="AA14" s="699"/>
      <c r="AB14" s="700"/>
      <c r="AC14" s="701"/>
      <c r="AD14" s="146">
        <f t="shared" si="12"/>
        <v>10</v>
      </c>
      <c r="AE14" s="147" t="str">
        <f t="shared" si="13"/>
        <v>lø</v>
      </c>
      <c r="AF14" s="436" t="s">
        <v>62</v>
      </c>
      <c r="AG14" s="149" t="str">
        <f t="shared" si="14"/>
        <v/>
      </c>
      <c r="AH14" s="699"/>
      <c r="AI14" s="700"/>
      <c r="AJ14" s="701"/>
      <c r="AK14" s="146">
        <f t="shared" si="15"/>
        <v>10</v>
      </c>
      <c r="AL14" s="147" t="str">
        <f t="shared" si="16"/>
        <v>ti</v>
      </c>
      <c r="AM14" s="436" t="s">
        <v>130</v>
      </c>
      <c r="AN14" s="149" t="str">
        <f t="shared" si="17"/>
        <v/>
      </c>
      <c r="AO14" s="699"/>
      <c r="AP14" s="700"/>
      <c r="AQ14" s="701"/>
      <c r="AR14" s="146">
        <f t="shared" si="18"/>
        <v>10</v>
      </c>
      <c r="AS14" s="147" t="str">
        <f t="shared" si="19"/>
        <v>fr</v>
      </c>
      <c r="AT14" s="436" t="s">
        <v>130</v>
      </c>
      <c r="AU14" s="149" t="str">
        <f t="shared" si="20"/>
        <v/>
      </c>
      <c r="AV14" s="702"/>
      <c r="AW14" s="700"/>
      <c r="AX14" s="701"/>
      <c r="AY14" s="146">
        <f t="shared" si="21"/>
        <v>10</v>
      </c>
      <c r="AZ14" s="147" t="str">
        <f t="shared" si="22"/>
        <v>fr</v>
      </c>
      <c r="BA14" s="436" t="s">
        <v>130</v>
      </c>
      <c r="BB14" s="149" t="str">
        <f t="shared" si="23"/>
        <v/>
      </c>
      <c r="BC14" s="699"/>
      <c r="BD14" s="700"/>
      <c r="BE14" s="701"/>
      <c r="BF14" s="146">
        <f t="shared" si="24"/>
        <v>10</v>
      </c>
      <c r="BG14" s="147" t="str">
        <f t="shared" si="25"/>
        <v>ma</v>
      </c>
      <c r="BH14" s="436" t="s">
        <v>57</v>
      </c>
      <c r="BI14" s="149">
        <f t="shared" si="26"/>
        <v>15.142857142857142</v>
      </c>
      <c r="BJ14" s="702" t="s">
        <v>63</v>
      </c>
      <c r="BK14" s="700"/>
      <c r="BL14" s="701"/>
      <c r="BM14" s="146">
        <f t="shared" si="27"/>
        <v>10</v>
      </c>
      <c r="BN14" s="147" t="str">
        <f t="shared" si="28"/>
        <v>on</v>
      </c>
      <c r="BO14" s="436" t="s">
        <v>130</v>
      </c>
      <c r="BP14" s="149" t="str">
        <f t="shared" si="29"/>
        <v/>
      </c>
      <c r="BQ14" s="699"/>
      <c r="BR14" s="700"/>
      <c r="BS14" s="701"/>
      <c r="BT14" s="146">
        <f t="shared" si="30"/>
        <v>10</v>
      </c>
      <c r="BU14" s="147" t="str">
        <f t="shared" si="31"/>
        <v>lø</v>
      </c>
      <c r="BV14" s="436" t="s">
        <v>62</v>
      </c>
      <c r="BW14" s="149" t="str">
        <f t="shared" si="32"/>
        <v/>
      </c>
      <c r="BX14" s="699"/>
      <c r="BY14" s="700"/>
      <c r="BZ14" s="701"/>
      <c r="CA14" s="146">
        <f t="shared" si="33"/>
        <v>10</v>
      </c>
      <c r="CB14" s="147" t="str">
        <f t="shared" si="34"/>
        <v>ma</v>
      </c>
      <c r="CC14" s="436" t="s">
        <v>130</v>
      </c>
      <c r="CD14" s="149">
        <f t="shared" si="35"/>
        <v>28.142857142857142</v>
      </c>
      <c r="CE14" s="702"/>
      <c r="CF14" s="700"/>
      <c r="CG14" s="701"/>
      <c r="CH14" s="150"/>
      <c r="CI14" s="151"/>
      <c r="CJ14" s="152"/>
      <c r="CK14" s="152"/>
      <c r="CL14" s="152"/>
    </row>
    <row r="15" spans="1:90" ht="18" customHeight="1" thickBot="1">
      <c r="A15" s="712"/>
      <c r="B15" s="146">
        <f t="shared" si="0"/>
        <v>11</v>
      </c>
      <c r="C15" s="147" t="str">
        <f t="shared" si="1"/>
        <v>to</v>
      </c>
      <c r="D15" s="436" t="s">
        <v>130</v>
      </c>
      <c r="E15" s="149" t="str">
        <f t="shared" si="2"/>
        <v/>
      </c>
      <c r="F15" s="699"/>
      <c r="G15" s="700"/>
      <c r="H15" s="701"/>
      <c r="I15" s="146">
        <f t="shared" si="3"/>
        <v>11</v>
      </c>
      <c r="J15" s="147" t="str">
        <f t="shared" si="4"/>
        <v>sø</v>
      </c>
      <c r="K15" s="436" t="s">
        <v>62</v>
      </c>
      <c r="L15" s="149" t="str">
        <f t="shared" si="5"/>
        <v/>
      </c>
      <c r="M15" s="696"/>
      <c r="N15" s="694"/>
      <c r="O15" s="695"/>
      <c r="P15" s="146">
        <f t="shared" si="6"/>
        <v>11</v>
      </c>
      <c r="Q15" s="147" t="str">
        <f t="shared" si="7"/>
        <v>ti</v>
      </c>
      <c r="R15" s="436" t="s">
        <v>130</v>
      </c>
      <c r="S15" s="149" t="str">
        <f t="shared" si="8"/>
        <v/>
      </c>
      <c r="T15" s="699"/>
      <c r="U15" s="700"/>
      <c r="V15" s="701"/>
      <c r="W15" s="146">
        <f t="shared" si="9"/>
        <v>11</v>
      </c>
      <c r="X15" s="147" t="str">
        <f t="shared" si="10"/>
        <v>fr</v>
      </c>
      <c r="Y15" s="436" t="s">
        <v>130</v>
      </c>
      <c r="Z15" s="149" t="str">
        <f t="shared" si="11"/>
        <v/>
      </c>
      <c r="AA15" s="699"/>
      <c r="AB15" s="700"/>
      <c r="AC15" s="701"/>
      <c r="AD15" s="146">
        <f t="shared" si="12"/>
        <v>11</v>
      </c>
      <c r="AE15" s="147" t="str">
        <f t="shared" si="13"/>
        <v>sø</v>
      </c>
      <c r="AF15" s="436" t="s">
        <v>62</v>
      </c>
      <c r="AG15" s="149" t="str">
        <f t="shared" si="14"/>
        <v/>
      </c>
      <c r="AH15" s="699"/>
      <c r="AI15" s="700"/>
      <c r="AJ15" s="701"/>
      <c r="AK15" s="146">
        <f t="shared" si="15"/>
        <v>11</v>
      </c>
      <c r="AL15" s="147" t="str">
        <f t="shared" si="16"/>
        <v>on</v>
      </c>
      <c r="AM15" s="436" t="s">
        <v>130</v>
      </c>
      <c r="AN15" s="149" t="str">
        <f t="shared" si="17"/>
        <v/>
      </c>
      <c r="AO15" s="699"/>
      <c r="AP15" s="700"/>
      <c r="AQ15" s="701"/>
      <c r="AR15" s="146">
        <f t="shared" si="18"/>
        <v>11</v>
      </c>
      <c r="AS15" s="147" t="str">
        <f t="shared" si="19"/>
        <v>lø</v>
      </c>
      <c r="AT15" s="436" t="s">
        <v>62</v>
      </c>
      <c r="AU15" s="149" t="str">
        <f t="shared" si="20"/>
        <v/>
      </c>
      <c r="AV15" s="702"/>
      <c r="AW15" s="700"/>
      <c r="AX15" s="701"/>
      <c r="AY15" s="146">
        <f t="shared" si="21"/>
        <v>11</v>
      </c>
      <c r="AZ15" s="147" t="str">
        <f t="shared" si="22"/>
        <v>lø</v>
      </c>
      <c r="BA15" s="436" t="s">
        <v>62</v>
      </c>
      <c r="BB15" s="149" t="str">
        <f t="shared" si="23"/>
        <v/>
      </c>
      <c r="BC15" s="699"/>
      <c r="BD15" s="700"/>
      <c r="BE15" s="701"/>
      <c r="BF15" s="146">
        <f t="shared" si="24"/>
        <v>11</v>
      </c>
      <c r="BG15" s="147" t="str">
        <f t="shared" si="25"/>
        <v>ti</v>
      </c>
      <c r="BH15" s="436" t="s">
        <v>130</v>
      </c>
      <c r="BI15" s="149" t="str">
        <f t="shared" si="26"/>
        <v/>
      </c>
      <c r="BJ15" s="699"/>
      <c r="BK15" s="700"/>
      <c r="BL15" s="701"/>
      <c r="BM15" s="146">
        <f t="shared" si="27"/>
        <v>11</v>
      </c>
      <c r="BN15" s="147" t="str">
        <f t="shared" si="28"/>
        <v>to</v>
      </c>
      <c r="BO15" s="436" t="s">
        <v>130</v>
      </c>
      <c r="BP15" s="149" t="str">
        <f t="shared" si="29"/>
        <v/>
      </c>
      <c r="BQ15" s="699"/>
      <c r="BR15" s="700"/>
      <c r="BS15" s="701"/>
      <c r="BT15" s="146">
        <f t="shared" si="30"/>
        <v>11</v>
      </c>
      <c r="BU15" s="147" t="str">
        <f t="shared" si="31"/>
        <v>sø</v>
      </c>
      <c r="BV15" s="436" t="s">
        <v>62</v>
      </c>
      <c r="BW15" s="149" t="str">
        <f t="shared" si="32"/>
        <v/>
      </c>
      <c r="BX15" s="699"/>
      <c r="BY15" s="700"/>
      <c r="BZ15" s="701"/>
      <c r="CA15" s="146">
        <f t="shared" si="33"/>
        <v>11</v>
      </c>
      <c r="CB15" s="147" t="str">
        <f t="shared" si="34"/>
        <v>ti</v>
      </c>
      <c r="CC15" s="436" t="s">
        <v>130</v>
      </c>
      <c r="CD15" s="149" t="str">
        <f t="shared" si="35"/>
        <v/>
      </c>
      <c r="CE15" s="699"/>
      <c r="CF15" s="700"/>
      <c r="CG15" s="701"/>
      <c r="CH15" s="150"/>
      <c r="CI15" s="151"/>
      <c r="CJ15" s="152"/>
      <c r="CK15" s="152"/>
      <c r="CL15" s="152"/>
    </row>
    <row r="16" spans="1:90" ht="19" customHeight="1">
      <c r="A16" s="712"/>
      <c r="B16" s="146">
        <f t="shared" si="0"/>
        <v>12</v>
      </c>
      <c r="C16" s="147" t="str">
        <f t="shared" si="1"/>
        <v>fr</v>
      </c>
      <c r="D16" s="436" t="s">
        <v>130</v>
      </c>
      <c r="E16" s="149" t="str">
        <f t="shared" si="2"/>
        <v/>
      </c>
      <c r="F16" s="699"/>
      <c r="G16" s="700"/>
      <c r="H16" s="701"/>
      <c r="I16" s="146">
        <f t="shared" si="3"/>
        <v>12</v>
      </c>
      <c r="J16" s="147" t="str">
        <f t="shared" si="4"/>
        <v>ma</v>
      </c>
      <c r="K16" s="436" t="s">
        <v>130</v>
      </c>
      <c r="L16" s="149">
        <f t="shared" si="5"/>
        <v>37.285714285714285</v>
      </c>
      <c r="M16" s="693"/>
      <c r="N16" s="709"/>
      <c r="O16" s="710"/>
      <c r="P16" s="146">
        <f t="shared" si="6"/>
        <v>12</v>
      </c>
      <c r="Q16" s="147" t="str">
        <f t="shared" si="7"/>
        <v>on</v>
      </c>
      <c r="R16" s="436" t="s">
        <v>130</v>
      </c>
      <c r="S16" s="149" t="str">
        <f t="shared" si="8"/>
        <v/>
      </c>
      <c r="T16" s="699"/>
      <c r="U16" s="700"/>
      <c r="V16" s="701"/>
      <c r="W16" s="146">
        <f t="shared" si="9"/>
        <v>12</v>
      </c>
      <c r="X16" s="147" t="str">
        <f t="shared" si="10"/>
        <v>lø</v>
      </c>
      <c r="Y16" s="436" t="s">
        <v>62</v>
      </c>
      <c r="Z16" s="149" t="str">
        <f t="shared" si="11"/>
        <v/>
      </c>
      <c r="AA16" s="699"/>
      <c r="AB16" s="700"/>
      <c r="AC16" s="701"/>
      <c r="AD16" s="146">
        <f t="shared" si="12"/>
        <v>12</v>
      </c>
      <c r="AE16" s="147" t="str">
        <f t="shared" si="13"/>
        <v>ma</v>
      </c>
      <c r="AF16" s="436" t="s">
        <v>130</v>
      </c>
      <c r="AG16" s="149">
        <f t="shared" si="14"/>
        <v>50.285714285714285</v>
      </c>
      <c r="AH16" s="699"/>
      <c r="AI16" s="700"/>
      <c r="AJ16" s="701"/>
      <c r="AK16" s="146">
        <f t="shared" si="15"/>
        <v>12</v>
      </c>
      <c r="AL16" s="147" t="str">
        <f t="shared" si="16"/>
        <v>to</v>
      </c>
      <c r="AM16" s="436" t="s">
        <v>130</v>
      </c>
      <c r="AN16" s="149" t="str">
        <f t="shared" si="17"/>
        <v/>
      </c>
      <c r="AO16" s="699"/>
      <c r="AP16" s="700"/>
      <c r="AQ16" s="701"/>
      <c r="AR16" s="146">
        <f t="shared" si="18"/>
        <v>12</v>
      </c>
      <c r="AS16" s="147" t="str">
        <f t="shared" si="19"/>
        <v>sø</v>
      </c>
      <c r="AT16" s="436" t="s">
        <v>62</v>
      </c>
      <c r="AU16" s="149" t="str">
        <f t="shared" si="20"/>
        <v/>
      </c>
      <c r="AV16" s="702"/>
      <c r="AW16" s="700"/>
      <c r="AX16" s="701"/>
      <c r="AY16" s="146">
        <f t="shared" si="21"/>
        <v>12</v>
      </c>
      <c r="AZ16" s="147" t="str">
        <f t="shared" si="22"/>
        <v>sø</v>
      </c>
      <c r="BA16" s="436" t="s">
        <v>62</v>
      </c>
      <c r="BB16" s="149" t="str">
        <f t="shared" si="23"/>
        <v/>
      </c>
      <c r="BC16" s="699"/>
      <c r="BD16" s="700"/>
      <c r="BE16" s="701"/>
      <c r="BF16" s="146">
        <f t="shared" si="24"/>
        <v>12</v>
      </c>
      <c r="BG16" s="147" t="str">
        <f t="shared" si="25"/>
        <v>on</v>
      </c>
      <c r="BH16" s="436" t="s">
        <v>130</v>
      </c>
      <c r="BI16" s="149" t="str">
        <f t="shared" si="26"/>
        <v/>
      </c>
      <c r="BJ16" s="699"/>
      <c r="BK16" s="700"/>
      <c r="BL16" s="701"/>
      <c r="BM16" s="146">
        <f t="shared" si="27"/>
        <v>12</v>
      </c>
      <c r="BN16" s="147" t="str">
        <f t="shared" si="28"/>
        <v>fr</v>
      </c>
      <c r="BO16" s="436" t="s">
        <v>130</v>
      </c>
      <c r="BP16" s="149" t="str">
        <f t="shared" si="29"/>
        <v/>
      </c>
      <c r="BQ16" s="699"/>
      <c r="BR16" s="700"/>
      <c r="BS16" s="701"/>
      <c r="BT16" s="146">
        <f t="shared" si="30"/>
        <v>12</v>
      </c>
      <c r="BU16" s="147" t="str">
        <f t="shared" si="31"/>
        <v>ma</v>
      </c>
      <c r="BV16" s="436" t="s">
        <v>130</v>
      </c>
      <c r="BW16" s="149">
        <f t="shared" si="32"/>
        <v>24.142857142857142</v>
      </c>
      <c r="BX16" s="699"/>
      <c r="BY16" s="700"/>
      <c r="BZ16" s="701"/>
      <c r="CA16" s="146">
        <f t="shared" si="33"/>
        <v>12</v>
      </c>
      <c r="CB16" s="147" t="str">
        <f t="shared" si="34"/>
        <v>on</v>
      </c>
      <c r="CC16" s="436" t="s">
        <v>130</v>
      </c>
      <c r="CD16" s="149" t="str">
        <f t="shared" si="35"/>
        <v/>
      </c>
      <c r="CE16" s="699"/>
      <c r="CF16" s="700"/>
      <c r="CG16" s="701"/>
      <c r="CH16" s="150"/>
      <c r="CI16" s="154" t="s">
        <v>64</v>
      </c>
      <c r="CJ16" s="155"/>
      <c r="CK16" s="152"/>
      <c r="CL16" s="152"/>
    </row>
    <row r="17" spans="1:90" ht="18" customHeight="1">
      <c r="A17" s="712"/>
      <c r="B17" s="146">
        <f t="shared" si="0"/>
        <v>13</v>
      </c>
      <c r="C17" s="147" t="str">
        <f t="shared" si="1"/>
        <v>lø</v>
      </c>
      <c r="D17" s="436" t="s">
        <v>62</v>
      </c>
      <c r="E17" s="149" t="str">
        <f t="shared" si="2"/>
        <v/>
      </c>
      <c r="F17" s="699"/>
      <c r="G17" s="700"/>
      <c r="H17" s="701"/>
      <c r="I17" s="146">
        <f t="shared" si="3"/>
        <v>13</v>
      </c>
      <c r="J17" s="147" t="str">
        <f t="shared" si="4"/>
        <v>ti</v>
      </c>
      <c r="K17" s="436" t="s">
        <v>130</v>
      </c>
      <c r="L17" s="149" t="str">
        <f t="shared" si="5"/>
        <v/>
      </c>
      <c r="M17" s="696"/>
      <c r="N17" s="694"/>
      <c r="O17" s="695"/>
      <c r="P17" s="146">
        <f t="shared" si="6"/>
        <v>13</v>
      </c>
      <c r="Q17" s="147" t="str">
        <f t="shared" si="7"/>
        <v>to</v>
      </c>
      <c r="R17" s="436" t="s">
        <v>130</v>
      </c>
      <c r="S17" s="149" t="str">
        <f t="shared" si="8"/>
        <v/>
      </c>
      <c r="T17" s="699"/>
      <c r="U17" s="700"/>
      <c r="V17" s="701"/>
      <c r="W17" s="146">
        <f t="shared" si="9"/>
        <v>13</v>
      </c>
      <c r="X17" s="147" t="str">
        <f t="shared" si="10"/>
        <v>sø</v>
      </c>
      <c r="Y17" s="436" t="s">
        <v>62</v>
      </c>
      <c r="Z17" s="149" t="str">
        <f t="shared" si="11"/>
        <v/>
      </c>
      <c r="AA17" s="699"/>
      <c r="AB17" s="700"/>
      <c r="AC17" s="701"/>
      <c r="AD17" s="146">
        <f t="shared" si="12"/>
        <v>13</v>
      </c>
      <c r="AE17" s="147" t="str">
        <f t="shared" si="13"/>
        <v>ti</v>
      </c>
      <c r="AF17" s="436" t="s">
        <v>130</v>
      </c>
      <c r="AG17" s="149" t="str">
        <f t="shared" si="14"/>
        <v/>
      </c>
      <c r="AH17" s="699"/>
      <c r="AI17" s="700"/>
      <c r="AJ17" s="701"/>
      <c r="AK17" s="146">
        <f t="shared" si="15"/>
        <v>13</v>
      </c>
      <c r="AL17" s="147" t="str">
        <f t="shared" si="16"/>
        <v>fr</v>
      </c>
      <c r="AM17" s="436" t="s">
        <v>130</v>
      </c>
      <c r="AN17" s="149" t="str">
        <f t="shared" si="17"/>
        <v/>
      </c>
      <c r="AO17" s="699"/>
      <c r="AP17" s="700"/>
      <c r="AQ17" s="701"/>
      <c r="AR17" s="146">
        <f t="shared" si="18"/>
        <v>13</v>
      </c>
      <c r="AS17" s="147" t="str">
        <f t="shared" si="19"/>
        <v>ma</v>
      </c>
      <c r="AT17" s="436" t="s">
        <v>130</v>
      </c>
      <c r="AU17" s="149">
        <f t="shared" si="20"/>
        <v>7.1428571428571432</v>
      </c>
      <c r="AV17" s="702"/>
      <c r="AW17" s="700"/>
      <c r="AX17" s="701"/>
      <c r="AY17" s="146">
        <f t="shared" si="21"/>
        <v>13</v>
      </c>
      <c r="AZ17" s="147" t="str">
        <f t="shared" si="22"/>
        <v>ma</v>
      </c>
      <c r="BA17" s="436" t="s">
        <v>130</v>
      </c>
      <c r="BB17" s="149">
        <f t="shared" si="23"/>
        <v>11.142857142857142</v>
      </c>
      <c r="BC17" s="699"/>
      <c r="BD17" s="700"/>
      <c r="BE17" s="701"/>
      <c r="BF17" s="146">
        <f t="shared" si="24"/>
        <v>13</v>
      </c>
      <c r="BG17" s="147" t="str">
        <f t="shared" si="25"/>
        <v>to</v>
      </c>
      <c r="BH17" s="436" t="s">
        <v>130</v>
      </c>
      <c r="BI17" s="149" t="str">
        <f t="shared" si="26"/>
        <v/>
      </c>
      <c r="BJ17" s="711"/>
      <c r="BK17" s="700"/>
      <c r="BL17" s="701"/>
      <c r="BM17" s="146">
        <f t="shared" si="27"/>
        <v>13</v>
      </c>
      <c r="BN17" s="147" t="str">
        <f t="shared" si="28"/>
        <v>lø</v>
      </c>
      <c r="BO17" s="436" t="s">
        <v>62</v>
      </c>
      <c r="BP17" s="149" t="str">
        <f t="shared" si="29"/>
        <v/>
      </c>
      <c r="BQ17" s="699"/>
      <c r="BR17" s="700"/>
      <c r="BS17" s="701"/>
      <c r="BT17" s="146">
        <f t="shared" si="30"/>
        <v>13</v>
      </c>
      <c r="BU17" s="147" t="str">
        <f t="shared" si="31"/>
        <v>ti</v>
      </c>
      <c r="BV17" s="436" t="s">
        <v>130</v>
      </c>
      <c r="BW17" s="149" t="str">
        <f t="shared" si="32"/>
        <v/>
      </c>
      <c r="BX17" s="699"/>
      <c r="BY17" s="700"/>
      <c r="BZ17" s="701"/>
      <c r="CA17" s="146">
        <f t="shared" si="33"/>
        <v>13</v>
      </c>
      <c r="CB17" s="147" t="str">
        <f t="shared" si="34"/>
        <v>to</v>
      </c>
      <c r="CC17" s="436" t="s">
        <v>130</v>
      </c>
      <c r="CD17" s="149" t="str">
        <f t="shared" si="35"/>
        <v/>
      </c>
      <c r="CE17" s="699"/>
      <c r="CF17" s="700"/>
      <c r="CG17" s="701"/>
      <c r="CH17" s="150"/>
      <c r="CI17" s="278" t="str">
        <f t="shared" ref="CI17:CI22" si="36">A46</f>
        <v>Normal uge 1</v>
      </c>
      <c r="CJ17" s="282">
        <f>CD37+BW37+BP37+BI37+BB37+AU37+AN37+AG37+Z37+S37+L37+E37</f>
        <v>254</v>
      </c>
      <c r="CK17" s="152"/>
      <c r="CL17" s="152"/>
    </row>
    <row r="18" spans="1:90" ht="18" customHeight="1">
      <c r="A18" s="712"/>
      <c r="B18" s="146">
        <f t="shared" si="0"/>
        <v>14</v>
      </c>
      <c r="C18" s="147" t="str">
        <f t="shared" si="1"/>
        <v>sø</v>
      </c>
      <c r="D18" s="436" t="s">
        <v>62</v>
      </c>
      <c r="E18" s="149" t="str">
        <f t="shared" si="2"/>
        <v/>
      </c>
      <c r="F18" s="699"/>
      <c r="G18" s="700"/>
      <c r="H18" s="701"/>
      <c r="I18" s="146">
        <f t="shared" si="3"/>
        <v>14</v>
      </c>
      <c r="J18" s="147" t="str">
        <f t="shared" si="4"/>
        <v>on</v>
      </c>
      <c r="K18" s="436" t="s">
        <v>130</v>
      </c>
      <c r="L18" s="149" t="str">
        <f t="shared" si="5"/>
        <v/>
      </c>
      <c r="M18" s="696"/>
      <c r="N18" s="694"/>
      <c r="O18" s="695"/>
      <c r="P18" s="146">
        <f t="shared" si="6"/>
        <v>14</v>
      </c>
      <c r="Q18" s="147" t="str">
        <f t="shared" si="7"/>
        <v>fr</v>
      </c>
      <c r="R18" s="436" t="s">
        <v>130</v>
      </c>
      <c r="S18" s="149" t="str">
        <f t="shared" si="8"/>
        <v/>
      </c>
      <c r="T18" s="699"/>
      <c r="U18" s="700"/>
      <c r="V18" s="701"/>
      <c r="W18" s="146">
        <f t="shared" si="9"/>
        <v>14</v>
      </c>
      <c r="X18" s="147" t="str">
        <f t="shared" si="10"/>
        <v>ma</v>
      </c>
      <c r="Y18" s="436" t="s">
        <v>130</v>
      </c>
      <c r="Z18" s="149">
        <f t="shared" si="11"/>
        <v>46.285714285714285</v>
      </c>
      <c r="AA18" s="699"/>
      <c r="AB18" s="700"/>
      <c r="AC18" s="701"/>
      <c r="AD18" s="146">
        <f t="shared" si="12"/>
        <v>14</v>
      </c>
      <c r="AE18" s="147" t="str">
        <f t="shared" si="13"/>
        <v>on</v>
      </c>
      <c r="AF18" s="436" t="s">
        <v>130</v>
      </c>
      <c r="AG18" s="149" t="str">
        <f t="shared" si="14"/>
        <v/>
      </c>
      <c r="AH18" s="699"/>
      <c r="AI18" s="700"/>
      <c r="AJ18" s="701"/>
      <c r="AK18" s="146">
        <f t="shared" si="15"/>
        <v>14</v>
      </c>
      <c r="AL18" s="147" t="str">
        <f t="shared" si="16"/>
        <v>lø</v>
      </c>
      <c r="AM18" s="436" t="s">
        <v>62</v>
      </c>
      <c r="AN18" s="149" t="str">
        <f t="shared" si="17"/>
        <v/>
      </c>
      <c r="AO18" s="699"/>
      <c r="AP18" s="700"/>
      <c r="AQ18" s="701"/>
      <c r="AR18" s="146">
        <f t="shared" si="18"/>
        <v>14</v>
      </c>
      <c r="AS18" s="147" t="str">
        <f t="shared" si="19"/>
        <v>ti</v>
      </c>
      <c r="AT18" s="436" t="s">
        <v>130</v>
      </c>
      <c r="AU18" s="149" t="str">
        <f t="shared" si="20"/>
        <v/>
      </c>
      <c r="AV18" s="702"/>
      <c r="AW18" s="700"/>
      <c r="AX18" s="701"/>
      <c r="AY18" s="146">
        <f t="shared" si="21"/>
        <v>14</v>
      </c>
      <c r="AZ18" s="147" t="str">
        <f t="shared" si="22"/>
        <v>ti</v>
      </c>
      <c r="BA18" s="436" t="s">
        <v>130</v>
      </c>
      <c r="BB18" s="149" t="str">
        <f t="shared" si="23"/>
        <v/>
      </c>
      <c r="BC18" s="699"/>
      <c r="BD18" s="700"/>
      <c r="BE18" s="701"/>
      <c r="BF18" s="146">
        <f t="shared" si="24"/>
        <v>14</v>
      </c>
      <c r="BG18" s="147" t="str">
        <f t="shared" si="25"/>
        <v>fr</v>
      </c>
      <c r="BH18" s="436" t="s">
        <v>130</v>
      </c>
      <c r="BI18" s="149" t="str">
        <f t="shared" si="26"/>
        <v/>
      </c>
      <c r="BJ18" s="699"/>
      <c r="BK18" s="700"/>
      <c r="BL18" s="701"/>
      <c r="BM18" s="146">
        <f t="shared" si="27"/>
        <v>14</v>
      </c>
      <c r="BN18" s="147" t="str">
        <f t="shared" si="28"/>
        <v>sø</v>
      </c>
      <c r="BO18" s="436" t="s">
        <v>62</v>
      </c>
      <c r="BP18" s="149" t="str">
        <f t="shared" si="29"/>
        <v/>
      </c>
      <c r="BQ18" s="702"/>
      <c r="BR18" s="700"/>
      <c r="BS18" s="701"/>
      <c r="BT18" s="146">
        <f t="shared" si="30"/>
        <v>14</v>
      </c>
      <c r="BU18" s="147" t="str">
        <f t="shared" si="31"/>
        <v>on</v>
      </c>
      <c r="BV18" s="436" t="s">
        <v>130</v>
      </c>
      <c r="BW18" s="149" t="str">
        <f t="shared" si="32"/>
        <v/>
      </c>
      <c r="BX18" s="699"/>
      <c r="BY18" s="700"/>
      <c r="BZ18" s="701"/>
      <c r="CA18" s="146">
        <f t="shared" si="33"/>
        <v>14</v>
      </c>
      <c r="CB18" s="147" t="str">
        <f t="shared" si="34"/>
        <v>fr</v>
      </c>
      <c r="CC18" s="436" t="s">
        <v>130</v>
      </c>
      <c r="CD18" s="149" t="str">
        <f t="shared" si="35"/>
        <v/>
      </c>
      <c r="CE18" s="699"/>
      <c r="CF18" s="700"/>
      <c r="CG18" s="701"/>
      <c r="CH18" s="150"/>
      <c r="CI18" s="268" t="str">
        <f t="shared" si="36"/>
        <v>Normal uge 2</v>
      </c>
      <c r="CJ18" s="283">
        <f t="shared" ref="CJ18:CJ19" si="37">CD38+BW38+BP38+BI38+BB38+AU38+AN38+AG38+Z38+S38+L38+E38</f>
        <v>0</v>
      </c>
      <c r="CK18" s="152"/>
      <c r="CL18" s="152"/>
    </row>
    <row r="19" spans="1:90" ht="18" customHeight="1">
      <c r="A19" s="697" t="s">
        <v>60</v>
      </c>
      <c r="B19" s="146">
        <f t="shared" si="0"/>
        <v>15</v>
      </c>
      <c r="C19" s="147" t="str">
        <f t="shared" si="1"/>
        <v>ma</v>
      </c>
      <c r="D19" s="436" t="s">
        <v>130</v>
      </c>
      <c r="E19" s="149">
        <f t="shared" si="2"/>
        <v>33.285714285714285</v>
      </c>
      <c r="F19" s="699"/>
      <c r="G19" s="700"/>
      <c r="H19" s="701"/>
      <c r="I19" s="146">
        <f t="shared" si="3"/>
        <v>15</v>
      </c>
      <c r="J19" s="147" t="str">
        <f t="shared" si="4"/>
        <v>to</v>
      </c>
      <c r="K19" s="148" t="s">
        <v>130</v>
      </c>
      <c r="L19" s="149" t="str">
        <f t="shared" si="5"/>
        <v/>
      </c>
      <c r="M19" s="696"/>
      <c r="N19" s="694"/>
      <c r="O19" s="695"/>
      <c r="P19" s="146">
        <f t="shared" si="6"/>
        <v>15</v>
      </c>
      <c r="Q19" s="147" t="str">
        <f t="shared" si="7"/>
        <v>lø</v>
      </c>
      <c r="R19" s="436" t="s">
        <v>62</v>
      </c>
      <c r="S19" s="149" t="str">
        <f t="shared" si="8"/>
        <v/>
      </c>
      <c r="T19" s="699"/>
      <c r="U19" s="700"/>
      <c r="V19" s="701"/>
      <c r="W19" s="146">
        <f t="shared" si="9"/>
        <v>15</v>
      </c>
      <c r="X19" s="147" t="str">
        <f t="shared" si="10"/>
        <v>ti</v>
      </c>
      <c r="Y19" s="436" t="s">
        <v>130</v>
      </c>
      <c r="Z19" s="149" t="str">
        <f t="shared" si="11"/>
        <v/>
      </c>
      <c r="AA19" s="699"/>
      <c r="AB19" s="700"/>
      <c r="AC19" s="701"/>
      <c r="AD19" s="146">
        <f t="shared" si="12"/>
        <v>15</v>
      </c>
      <c r="AE19" s="147" t="str">
        <f t="shared" si="13"/>
        <v>to</v>
      </c>
      <c r="AF19" s="436" t="s">
        <v>130</v>
      </c>
      <c r="AG19" s="149" t="str">
        <f t="shared" si="14"/>
        <v/>
      </c>
      <c r="AH19" s="702"/>
      <c r="AI19" s="700"/>
      <c r="AJ19" s="701"/>
      <c r="AK19" s="146">
        <f t="shared" si="15"/>
        <v>15</v>
      </c>
      <c r="AL19" s="147" t="str">
        <f t="shared" si="16"/>
        <v>sø</v>
      </c>
      <c r="AM19" s="436" t="s">
        <v>62</v>
      </c>
      <c r="AN19" s="149" t="str">
        <f t="shared" si="17"/>
        <v/>
      </c>
      <c r="AO19" s="699"/>
      <c r="AP19" s="700"/>
      <c r="AQ19" s="701"/>
      <c r="AR19" s="146">
        <f t="shared" si="18"/>
        <v>15</v>
      </c>
      <c r="AS19" s="147" t="str">
        <f t="shared" si="19"/>
        <v>on</v>
      </c>
      <c r="AT19" s="436" t="s">
        <v>130</v>
      </c>
      <c r="AU19" s="149" t="str">
        <f t="shared" si="20"/>
        <v/>
      </c>
      <c r="AV19" s="699"/>
      <c r="AW19" s="700"/>
      <c r="AX19" s="701"/>
      <c r="AY19" s="146">
        <f t="shared" si="21"/>
        <v>15</v>
      </c>
      <c r="AZ19" s="147" t="str">
        <f t="shared" si="22"/>
        <v>on</v>
      </c>
      <c r="BA19" s="436" t="s">
        <v>130</v>
      </c>
      <c r="BB19" s="149" t="str">
        <f t="shared" si="23"/>
        <v/>
      </c>
      <c r="BC19" s="699"/>
      <c r="BD19" s="700"/>
      <c r="BE19" s="701"/>
      <c r="BF19" s="146">
        <f t="shared" si="24"/>
        <v>15</v>
      </c>
      <c r="BG19" s="147" t="str">
        <f t="shared" si="25"/>
        <v>lø</v>
      </c>
      <c r="BH19" s="436" t="s">
        <v>62</v>
      </c>
      <c r="BI19" s="149" t="str">
        <f t="shared" si="26"/>
        <v/>
      </c>
      <c r="BJ19" s="699"/>
      <c r="BK19" s="700"/>
      <c r="BL19" s="701"/>
      <c r="BM19" s="146">
        <f t="shared" si="27"/>
        <v>15</v>
      </c>
      <c r="BN19" s="147" t="str">
        <f t="shared" si="28"/>
        <v>ma</v>
      </c>
      <c r="BO19" s="436" t="s">
        <v>130</v>
      </c>
      <c r="BP19" s="149">
        <f t="shared" si="29"/>
        <v>20.142857142857142</v>
      </c>
      <c r="BQ19" s="699"/>
      <c r="BR19" s="700"/>
      <c r="BS19" s="701"/>
      <c r="BT19" s="146">
        <f t="shared" si="30"/>
        <v>15</v>
      </c>
      <c r="BU19" s="147" t="str">
        <f t="shared" si="31"/>
        <v>to</v>
      </c>
      <c r="BV19" s="436" t="s">
        <v>130</v>
      </c>
      <c r="BW19" s="149" t="str">
        <f t="shared" si="32"/>
        <v/>
      </c>
      <c r="BX19" s="699"/>
      <c r="BY19" s="700"/>
      <c r="BZ19" s="701"/>
      <c r="CA19" s="146">
        <f t="shared" si="33"/>
        <v>15</v>
      </c>
      <c r="CB19" s="147" t="str">
        <f t="shared" si="34"/>
        <v>lø</v>
      </c>
      <c r="CC19" s="436" t="s">
        <v>62</v>
      </c>
      <c r="CD19" s="149" t="str">
        <f t="shared" si="35"/>
        <v/>
      </c>
      <c r="CE19" s="699"/>
      <c r="CF19" s="700"/>
      <c r="CG19" s="701"/>
      <c r="CH19" s="150"/>
      <c r="CI19" s="272" t="str">
        <f t="shared" si="36"/>
        <v>Særlig uge 1</v>
      </c>
      <c r="CJ19" s="284">
        <f t="shared" si="37"/>
        <v>0</v>
      </c>
      <c r="CK19" s="152"/>
      <c r="CL19" s="152"/>
    </row>
    <row r="20" spans="1:90" ht="18" customHeight="1">
      <c r="A20" s="697"/>
      <c r="B20" s="146">
        <f>IF(ISNUMBER(B19),B19+1,1)</f>
        <v>16</v>
      </c>
      <c r="C20" s="147" t="str">
        <f t="shared" si="1"/>
        <v>ti</v>
      </c>
      <c r="D20" s="436" t="s">
        <v>130</v>
      </c>
      <c r="E20" s="149" t="str">
        <f t="shared" si="2"/>
        <v/>
      </c>
      <c r="F20" s="699"/>
      <c r="G20" s="700"/>
      <c r="H20" s="701"/>
      <c r="I20" s="146">
        <f>IF(ISNUMBER(I19),I19+1,1)</f>
        <v>16</v>
      </c>
      <c r="J20" s="147" t="str">
        <f t="shared" si="4"/>
        <v>fr</v>
      </c>
      <c r="K20" s="436" t="s">
        <v>130</v>
      </c>
      <c r="L20" s="149" t="str">
        <f t="shared" si="5"/>
        <v/>
      </c>
      <c r="M20" s="696"/>
      <c r="N20" s="694"/>
      <c r="O20" s="695"/>
      <c r="P20" s="146">
        <f>IF(ISNUMBER(P19),P19+1,1)</f>
        <v>16</v>
      </c>
      <c r="Q20" s="147" t="str">
        <f t="shared" si="7"/>
        <v>sø</v>
      </c>
      <c r="R20" s="436" t="s">
        <v>62</v>
      </c>
      <c r="S20" s="149" t="str">
        <f t="shared" si="8"/>
        <v/>
      </c>
      <c r="T20" s="699"/>
      <c r="U20" s="700"/>
      <c r="V20" s="701"/>
      <c r="W20" s="146">
        <f>IF(ISNUMBER(W19),W19+1,1)</f>
        <v>16</v>
      </c>
      <c r="X20" s="147" t="str">
        <f t="shared" si="10"/>
        <v>on</v>
      </c>
      <c r="Y20" s="436" t="s">
        <v>130</v>
      </c>
      <c r="Z20" s="149" t="str">
        <f t="shared" si="11"/>
        <v/>
      </c>
      <c r="AA20" s="699"/>
      <c r="AB20" s="700"/>
      <c r="AC20" s="701"/>
      <c r="AD20" s="146">
        <f>IF(ISNUMBER(AD19),AD19+1,1)</f>
        <v>16</v>
      </c>
      <c r="AE20" s="147" t="str">
        <f t="shared" si="13"/>
        <v>fr</v>
      </c>
      <c r="AF20" s="436" t="s">
        <v>130</v>
      </c>
      <c r="AG20" s="149" t="str">
        <f t="shared" si="14"/>
        <v/>
      </c>
      <c r="AH20" s="699"/>
      <c r="AI20" s="700"/>
      <c r="AJ20" s="701"/>
      <c r="AK20" s="146">
        <f>IF(ISNUMBER(AK19),AK19+1,1)</f>
        <v>16</v>
      </c>
      <c r="AL20" s="147" t="str">
        <f t="shared" si="16"/>
        <v>ma</v>
      </c>
      <c r="AM20" s="436" t="s">
        <v>130</v>
      </c>
      <c r="AN20" s="149">
        <f t="shared" si="17"/>
        <v>3.1428571428571428</v>
      </c>
      <c r="AO20" s="699"/>
      <c r="AP20" s="700"/>
      <c r="AQ20" s="701"/>
      <c r="AR20" s="146">
        <f>IF(ISNUMBER(AR19),AR19+1,1)</f>
        <v>16</v>
      </c>
      <c r="AS20" s="147" t="str">
        <f t="shared" si="19"/>
        <v>to</v>
      </c>
      <c r="AT20" s="436" t="s">
        <v>130</v>
      </c>
      <c r="AU20" s="149" t="str">
        <f t="shared" si="20"/>
        <v/>
      </c>
      <c r="AV20" s="699"/>
      <c r="AW20" s="700"/>
      <c r="AX20" s="701"/>
      <c r="AY20" s="146">
        <f>IF(ISNUMBER(AY19),AY19+1,1)</f>
        <v>16</v>
      </c>
      <c r="AZ20" s="147" t="str">
        <f t="shared" si="22"/>
        <v>to</v>
      </c>
      <c r="BA20" s="436" t="s">
        <v>130</v>
      </c>
      <c r="BB20" s="149" t="str">
        <f t="shared" si="23"/>
        <v/>
      </c>
      <c r="BC20" s="699"/>
      <c r="BD20" s="700"/>
      <c r="BE20" s="701"/>
      <c r="BF20" s="146">
        <f>IF(ISNUMBER(BF19),BF19+1,1)</f>
        <v>16</v>
      </c>
      <c r="BG20" s="147" t="str">
        <f t="shared" si="25"/>
        <v>sø</v>
      </c>
      <c r="BH20" s="436" t="s">
        <v>62</v>
      </c>
      <c r="BI20" s="149" t="str">
        <f t="shared" si="26"/>
        <v/>
      </c>
      <c r="BJ20" s="699"/>
      <c r="BK20" s="700"/>
      <c r="BL20" s="701"/>
      <c r="BM20" s="146">
        <f>IF(ISNUMBER(BM19),BM19+1,1)</f>
        <v>16</v>
      </c>
      <c r="BN20" s="147" t="str">
        <f t="shared" si="28"/>
        <v>ti</v>
      </c>
      <c r="BO20" s="436" t="s">
        <v>130</v>
      </c>
      <c r="BP20" s="149" t="str">
        <f t="shared" si="29"/>
        <v/>
      </c>
      <c r="BQ20" s="699"/>
      <c r="BR20" s="700"/>
      <c r="BS20" s="701"/>
      <c r="BT20" s="146">
        <f>IF(ISNUMBER(BT19),BT19+1,1)</f>
        <v>16</v>
      </c>
      <c r="BU20" s="147" t="str">
        <f t="shared" si="31"/>
        <v>fr</v>
      </c>
      <c r="BV20" s="436" t="s">
        <v>130</v>
      </c>
      <c r="BW20" s="149" t="str">
        <f t="shared" si="32"/>
        <v/>
      </c>
      <c r="BX20" s="699"/>
      <c r="BY20" s="700"/>
      <c r="BZ20" s="701"/>
      <c r="CA20" s="146">
        <f>IF(ISNUMBER(CA19),CA19+1,1)</f>
        <v>16</v>
      </c>
      <c r="CB20" s="147" t="str">
        <f t="shared" si="34"/>
        <v>sø</v>
      </c>
      <c r="CC20" s="436" t="s">
        <v>62</v>
      </c>
      <c r="CD20" s="149" t="str">
        <f t="shared" si="35"/>
        <v/>
      </c>
      <c r="CE20" s="699"/>
      <c r="CF20" s="700"/>
      <c r="CG20" s="701"/>
      <c r="CH20" s="150"/>
      <c r="CI20" s="270" t="str">
        <f t="shared" si="36"/>
        <v>Særlig uge 2</v>
      </c>
      <c r="CJ20" s="285">
        <f t="shared" ref="CJ20:CJ29" si="38">CD40+BW40+BP40+BI40+BB40+AU40+AN40+AG40+Z40+S40+L40+E40</f>
        <v>0</v>
      </c>
      <c r="CK20" s="152"/>
      <c r="CL20" s="152"/>
    </row>
    <row r="21" spans="1:90" ht="18" customHeight="1">
      <c r="A21" s="708" t="s">
        <v>203</v>
      </c>
      <c r="B21" s="146">
        <f t="shared" si="0"/>
        <v>17</v>
      </c>
      <c r="C21" s="147" t="str">
        <f t="shared" si="1"/>
        <v>on</v>
      </c>
      <c r="D21" s="436" t="s">
        <v>130</v>
      </c>
      <c r="E21" s="149" t="str">
        <f t="shared" si="2"/>
        <v/>
      </c>
      <c r="F21" s="699"/>
      <c r="G21" s="700"/>
      <c r="H21" s="701"/>
      <c r="I21" s="146">
        <f t="shared" si="3"/>
        <v>17</v>
      </c>
      <c r="J21" s="147" t="str">
        <f t="shared" si="4"/>
        <v>lø</v>
      </c>
      <c r="K21" s="436" t="s">
        <v>62</v>
      </c>
      <c r="L21" s="149" t="str">
        <f t="shared" si="5"/>
        <v/>
      </c>
      <c r="M21" s="696"/>
      <c r="N21" s="694"/>
      <c r="O21" s="695"/>
      <c r="P21" s="146">
        <f t="shared" si="6"/>
        <v>17</v>
      </c>
      <c r="Q21" s="147" t="str">
        <f t="shared" si="7"/>
        <v>ma</v>
      </c>
      <c r="R21" s="436" t="s">
        <v>130</v>
      </c>
      <c r="S21" s="149">
        <f t="shared" si="8"/>
        <v>42.285714285714285</v>
      </c>
      <c r="T21" s="699"/>
      <c r="U21" s="700"/>
      <c r="V21" s="701"/>
      <c r="W21" s="146">
        <f t="shared" si="9"/>
        <v>17</v>
      </c>
      <c r="X21" s="147" t="str">
        <f t="shared" si="10"/>
        <v>to</v>
      </c>
      <c r="Y21" s="436" t="s">
        <v>130</v>
      </c>
      <c r="Z21" s="149" t="str">
        <f t="shared" si="11"/>
        <v/>
      </c>
      <c r="AA21" s="699"/>
      <c r="AB21" s="700"/>
      <c r="AC21" s="701"/>
      <c r="AD21" s="146">
        <f t="shared" si="12"/>
        <v>17</v>
      </c>
      <c r="AE21" s="147" t="str">
        <f t="shared" si="13"/>
        <v>lø</v>
      </c>
      <c r="AF21" s="436" t="s">
        <v>62</v>
      </c>
      <c r="AG21" s="149" t="str">
        <f t="shared" si="14"/>
        <v/>
      </c>
      <c r="AH21" s="699"/>
      <c r="AI21" s="700"/>
      <c r="AJ21" s="701"/>
      <c r="AK21" s="146">
        <f t="shared" si="15"/>
        <v>17</v>
      </c>
      <c r="AL21" s="147" t="str">
        <f t="shared" si="16"/>
        <v>ti</v>
      </c>
      <c r="AM21" s="436" t="s">
        <v>130</v>
      </c>
      <c r="AN21" s="149" t="str">
        <f t="shared" si="17"/>
        <v/>
      </c>
      <c r="AO21" s="699"/>
      <c r="AP21" s="700"/>
      <c r="AQ21" s="701"/>
      <c r="AR21" s="146">
        <f t="shared" si="18"/>
        <v>17</v>
      </c>
      <c r="AS21" s="147" t="str">
        <f t="shared" si="19"/>
        <v>fr</v>
      </c>
      <c r="AT21" s="436" t="s">
        <v>130</v>
      </c>
      <c r="AU21" s="149" t="str">
        <f t="shared" si="20"/>
        <v/>
      </c>
      <c r="AV21" s="699"/>
      <c r="AW21" s="700"/>
      <c r="AX21" s="701"/>
      <c r="AY21" s="146">
        <f t="shared" si="21"/>
        <v>17</v>
      </c>
      <c r="AZ21" s="147" t="str">
        <f t="shared" si="22"/>
        <v>fr</v>
      </c>
      <c r="BA21" s="436" t="s">
        <v>130</v>
      </c>
      <c r="BB21" s="149" t="str">
        <f t="shared" si="23"/>
        <v/>
      </c>
      <c r="BC21" s="699"/>
      <c r="BD21" s="700"/>
      <c r="BE21" s="701"/>
      <c r="BF21" s="146">
        <f t="shared" si="24"/>
        <v>17</v>
      </c>
      <c r="BG21" s="147" t="str">
        <f t="shared" si="25"/>
        <v>ma</v>
      </c>
      <c r="BH21" s="436" t="s">
        <v>130</v>
      </c>
      <c r="BI21" s="149">
        <f t="shared" si="26"/>
        <v>16.142857142857142</v>
      </c>
      <c r="BJ21" s="699"/>
      <c r="BK21" s="700"/>
      <c r="BL21" s="701"/>
      <c r="BM21" s="146">
        <f t="shared" si="27"/>
        <v>17</v>
      </c>
      <c r="BN21" s="147" t="str">
        <f t="shared" si="28"/>
        <v>on</v>
      </c>
      <c r="BO21" s="436" t="s">
        <v>130</v>
      </c>
      <c r="BP21" s="149" t="str">
        <f t="shared" si="29"/>
        <v/>
      </c>
      <c r="BQ21" s="699"/>
      <c r="BR21" s="700"/>
      <c r="BS21" s="701"/>
      <c r="BT21" s="146">
        <f t="shared" si="30"/>
        <v>17</v>
      </c>
      <c r="BU21" s="147" t="str">
        <f t="shared" si="31"/>
        <v>lø</v>
      </c>
      <c r="BV21" s="436" t="s">
        <v>62</v>
      </c>
      <c r="BW21" s="149" t="str">
        <f t="shared" si="32"/>
        <v/>
      </c>
      <c r="BX21" s="699"/>
      <c r="BY21" s="700"/>
      <c r="BZ21" s="701"/>
      <c r="CA21" s="146">
        <f t="shared" si="33"/>
        <v>17</v>
      </c>
      <c r="CB21" s="147" t="str">
        <f t="shared" si="34"/>
        <v>ma</v>
      </c>
      <c r="CC21" s="436" t="s">
        <v>130</v>
      </c>
      <c r="CD21" s="149">
        <f t="shared" si="35"/>
        <v>29.142857142857142</v>
      </c>
      <c r="CE21" s="699"/>
      <c r="CF21" s="700"/>
      <c r="CG21" s="701"/>
      <c r="CH21" s="150"/>
      <c r="CI21" s="271" t="str">
        <f t="shared" si="36"/>
        <v>Særlig uge 3</v>
      </c>
      <c r="CJ21" s="286">
        <f t="shared" si="38"/>
        <v>0</v>
      </c>
      <c r="CK21" s="152"/>
      <c r="CL21" s="152"/>
    </row>
    <row r="22" spans="1:90" ht="18" customHeight="1">
      <c r="A22" s="708"/>
      <c r="B22" s="146">
        <f t="shared" si="0"/>
        <v>18</v>
      </c>
      <c r="C22" s="147" t="str">
        <f t="shared" si="1"/>
        <v>to</v>
      </c>
      <c r="D22" s="436" t="s">
        <v>130</v>
      </c>
      <c r="E22" s="149" t="str">
        <f t="shared" si="2"/>
        <v/>
      </c>
      <c r="F22" s="699"/>
      <c r="G22" s="700"/>
      <c r="H22" s="701"/>
      <c r="I22" s="146">
        <f t="shared" si="3"/>
        <v>18</v>
      </c>
      <c r="J22" s="147" t="str">
        <f t="shared" si="4"/>
        <v>sø</v>
      </c>
      <c r="K22" s="436" t="s">
        <v>62</v>
      </c>
      <c r="L22" s="149" t="str">
        <f t="shared" si="5"/>
        <v/>
      </c>
      <c r="M22" s="696"/>
      <c r="N22" s="694"/>
      <c r="O22" s="695"/>
      <c r="P22" s="146">
        <f t="shared" si="6"/>
        <v>18</v>
      </c>
      <c r="Q22" s="147" t="str">
        <f t="shared" si="7"/>
        <v>ti</v>
      </c>
      <c r="R22" s="436" t="s">
        <v>130</v>
      </c>
      <c r="S22" s="149" t="str">
        <f t="shared" si="8"/>
        <v/>
      </c>
      <c r="T22" s="699"/>
      <c r="U22" s="700"/>
      <c r="V22" s="701"/>
      <c r="W22" s="146">
        <f t="shared" si="9"/>
        <v>18</v>
      </c>
      <c r="X22" s="147" t="str">
        <f t="shared" si="10"/>
        <v>fr</v>
      </c>
      <c r="Y22" s="436" t="s">
        <v>130</v>
      </c>
      <c r="Z22" s="149" t="str">
        <f t="shared" si="11"/>
        <v/>
      </c>
      <c r="AA22" s="699"/>
      <c r="AB22" s="700"/>
      <c r="AC22" s="701"/>
      <c r="AD22" s="146">
        <f t="shared" si="12"/>
        <v>18</v>
      </c>
      <c r="AE22" s="147" t="str">
        <f t="shared" si="13"/>
        <v>sø</v>
      </c>
      <c r="AF22" s="436" t="s">
        <v>62</v>
      </c>
      <c r="AG22" s="149" t="str">
        <f t="shared" si="14"/>
        <v/>
      </c>
      <c r="AH22" s="699"/>
      <c r="AI22" s="700"/>
      <c r="AJ22" s="701"/>
      <c r="AK22" s="146">
        <f t="shared" si="15"/>
        <v>18</v>
      </c>
      <c r="AL22" s="147" t="str">
        <f t="shared" si="16"/>
        <v>on</v>
      </c>
      <c r="AM22" s="436" t="s">
        <v>130</v>
      </c>
      <c r="AN22" s="149" t="str">
        <f t="shared" si="17"/>
        <v/>
      </c>
      <c r="AO22" s="699"/>
      <c r="AP22" s="700"/>
      <c r="AQ22" s="701"/>
      <c r="AR22" s="146">
        <f t="shared" si="18"/>
        <v>18</v>
      </c>
      <c r="AS22" s="147" t="str">
        <f t="shared" si="19"/>
        <v>lø</v>
      </c>
      <c r="AT22" s="436" t="s">
        <v>62</v>
      </c>
      <c r="AU22" s="149" t="str">
        <f t="shared" si="20"/>
        <v/>
      </c>
      <c r="AV22" s="699"/>
      <c r="AW22" s="700"/>
      <c r="AX22" s="701"/>
      <c r="AY22" s="146">
        <f t="shared" si="21"/>
        <v>18</v>
      </c>
      <c r="AZ22" s="147" t="str">
        <f t="shared" si="22"/>
        <v>lø</v>
      </c>
      <c r="BA22" s="436" t="s">
        <v>62</v>
      </c>
      <c r="BB22" s="149" t="str">
        <f t="shared" si="23"/>
        <v/>
      </c>
      <c r="BC22" s="699"/>
      <c r="BD22" s="700"/>
      <c r="BE22" s="701"/>
      <c r="BF22" s="146">
        <f t="shared" si="24"/>
        <v>18</v>
      </c>
      <c r="BG22" s="147" t="str">
        <f t="shared" si="25"/>
        <v>ti</v>
      </c>
      <c r="BH22" s="436" t="s">
        <v>130</v>
      </c>
      <c r="BI22" s="149" t="str">
        <f t="shared" si="26"/>
        <v/>
      </c>
      <c r="BJ22" s="699"/>
      <c r="BK22" s="700"/>
      <c r="BL22" s="701"/>
      <c r="BM22" s="146">
        <f t="shared" si="27"/>
        <v>18</v>
      </c>
      <c r="BN22" s="147" t="str">
        <f t="shared" si="28"/>
        <v>to</v>
      </c>
      <c r="BO22" s="436" t="s">
        <v>57</v>
      </c>
      <c r="BP22" s="149" t="str">
        <f t="shared" si="29"/>
        <v/>
      </c>
      <c r="BQ22" s="699" t="s">
        <v>202</v>
      </c>
      <c r="BR22" s="700"/>
      <c r="BS22" s="701"/>
      <c r="BT22" s="146">
        <f t="shared" si="30"/>
        <v>18</v>
      </c>
      <c r="BU22" s="147" t="str">
        <f t="shared" si="31"/>
        <v>sø</v>
      </c>
      <c r="BV22" s="436" t="s">
        <v>62</v>
      </c>
      <c r="BW22" s="149" t="str">
        <f t="shared" si="32"/>
        <v/>
      </c>
      <c r="BX22" s="699"/>
      <c r="BY22" s="700"/>
      <c r="BZ22" s="701"/>
      <c r="CA22" s="146">
        <f t="shared" si="33"/>
        <v>18</v>
      </c>
      <c r="CB22" s="147" t="str">
        <f t="shared" si="34"/>
        <v>ti</v>
      </c>
      <c r="CC22" s="436" t="s">
        <v>130</v>
      </c>
      <c r="CD22" s="149" t="str">
        <f t="shared" si="35"/>
        <v/>
      </c>
      <c r="CE22" s="699"/>
      <c r="CF22" s="700"/>
      <c r="CG22" s="701"/>
      <c r="CH22" s="150"/>
      <c r="CI22" s="269" t="str">
        <f t="shared" si="36"/>
        <v>Særlig uge 4</v>
      </c>
      <c r="CJ22" s="287">
        <f t="shared" si="38"/>
        <v>0</v>
      </c>
      <c r="CK22" s="152"/>
      <c r="CL22" s="152"/>
    </row>
    <row r="23" spans="1:90" ht="18" customHeight="1">
      <c r="A23" s="582" t="s">
        <v>130</v>
      </c>
      <c r="B23" s="146">
        <f t="shared" si="0"/>
        <v>19</v>
      </c>
      <c r="C23" s="147" t="str">
        <f t="shared" si="1"/>
        <v>fr</v>
      </c>
      <c r="D23" s="436" t="s">
        <v>130</v>
      </c>
      <c r="E23" s="149" t="str">
        <f t="shared" si="2"/>
        <v/>
      </c>
      <c r="F23" s="699"/>
      <c r="G23" s="700"/>
      <c r="H23" s="701"/>
      <c r="I23" s="146">
        <f t="shared" si="3"/>
        <v>19</v>
      </c>
      <c r="J23" s="147" t="str">
        <f t="shared" si="4"/>
        <v>ma</v>
      </c>
      <c r="K23" s="436" t="s">
        <v>130</v>
      </c>
      <c r="L23" s="149">
        <f t="shared" si="5"/>
        <v>38.285714285714285</v>
      </c>
      <c r="M23" s="693"/>
      <c r="N23" s="709"/>
      <c r="O23" s="710"/>
      <c r="P23" s="146">
        <f t="shared" si="6"/>
        <v>19</v>
      </c>
      <c r="Q23" s="147" t="str">
        <f t="shared" si="7"/>
        <v>on</v>
      </c>
      <c r="R23" s="436" t="s">
        <v>130</v>
      </c>
      <c r="S23" s="149" t="str">
        <f t="shared" si="8"/>
        <v/>
      </c>
      <c r="T23" s="699"/>
      <c r="U23" s="700"/>
      <c r="V23" s="701"/>
      <c r="W23" s="146">
        <f t="shared" si="9"/>
        <v>19</v>
      </c>
      <c r="X23" s="147" t="str">
        <f t="shared" si="10"/>
        <v>lø</v>
      </c>
      <c r="Y23" s="436" t="s">
        <v>62</v>
      </c>
      <c r="Z23" s="149" t="str">
        <f t="shared" si="11"/>
        <v/>
      </c>
      <c r="AA23" s="699"/>
      <c r="AB23" s="700"/>
      <c r="AC23" s="701"/>
      <c r="AD23" s="146">
        <f t="shared" si="12"/>
        <v>19</v>
      </c>
      <c r="AE23" s="147" t="str">
        <f t="shared" si="13"/>
        <v>ma</v>
      </c>
      <c r="AF23" s="436" t="s">
        <v>130</v>
      </c>
      <c r="AG23" s="149">
        <f t="shared" si="14"/>
        <v>51.285714285714285</v>
      </c>
      <c r="AH23" s="699"/>
      <c r="AI23" s="700"/>
      <c r="AJ23" s="701"/>
      <c r="AK23" s="146">
        <f t="shared" si="15"/>
        <v>19</v>
      </c>
      <c r="AL23" s="147" t="str">
        <f t="shared" si="16"/>
        <v>to</v>
      </c>
      <c r="AM23" s="436" t="s">
        <v>130</v>
      </c>
      <c r="AN23" s="149" t="str">
        <f t="shared" si="17"/>
        <v/>
      </c>
      <c r="AO23" s="699"/>
      <c r="AP23" s="700"/>
      <c r="AQ23" s="701"/>
      <c r="AR23" s="146">
        <f t="shared" si="18"/>
        <v>19</v>
      </c>
      <c r="AS23" s="147" t="str">
        <f t="shared" si="19"/>
        <v>sø</v>
      </c>
      <c r="AT23" s="436" t="s">
        <v>62</v>
      </c>
      <c r="AU23" s="149" t="str">
        <f t="shared" si="20"/>
        <v/>
      </c>
      <c r="AV23" s="699"/>
      <c r="AW23" s="700"/>
      <c r="AX23" s="701"/>
      <c r="AY23" s="146">
        <f t="shared" si="21"/>
        <v>19</v>
      </c>
      <c r="AZ23" s="147" t="str">
        <f t="shared" si="22"/>
        <v>sø</v>
      </c>
      <c r="BA23" s="436" t="s">
        <v>62</v>
      </c>
      <c r="BB23" s="149" t="str">
        <f t="shared" si="23"/>
        <v/>
      </c>
      <c r="BC23" s="699"/>
      <c r="BD23" s="700"/>
      <c r="BE23" s="701"/>
      <c r="BF23" s="146">
        <f t="shared" si="24"/>
        <v>19</v>
      </c>
      <c r="BG23" s="147" t="str">
        <f t="shared" si="25"/>
        <v>on</v>
      </c>
      <c r="BH23" s="436" t="s">
        <v>130</v>
      </c>
      <c r="BI23" s="149" t="str">
        <f t="shared" si="26"/>
        <v/>
      </c>
      <c r="BJ23" s="699"/>
      <c r="BK23" s="700"/>
      <c r="BL23" s="701"/>
      <c r="BM23" s="146">
        <f t="shared" si="27"/>
        <v>19</v>
      </c>
      <c r="BN23" s="147" t="str">
        <f t="shared" si="28"/>
        <v>fr</v>
      </c>
      <c r="BO23" s="436" t="s">
        <v>130</v>
      </c>
      <c r="BP23" s="149" t="str">
        <f t="shared" si="29"/>
        <v/>
      </c>
      <c r="BQ23" s="699"/>
      <c r="BR23" s="700"/>
      <c r="BS23" s="701"/>
      <c r="BT23" s="146">
        <f t="shared" si="30"/>
        <v>19</v>
      </c>
      <c r="BU23" s="147" t="str">
        <f t="shared" si="31"/>
        <v>ma</v>
      </c>
      <c r="BV23" s="436" t="s">
        <v>130</v>
      </c>
      <c r="BW23" s="149">
        <f t="shared" si="32"/>
        <v>25.142857142857142</v>
      </c>
      <c r="BX23" s="699"/>
      <c r="BY23" s="700"/>
      <c r="BZ23" s="701"/>
      <c r="CA23" s="146">
        <f t="shared" si="33"/>
        <v>19</v>
      </c>
      <c r="CB23" s="147" t="str">
        <f t="shared" si="34"/>
        <v>on</v>
      </c>
      <c r="CC23" s="436" t="s">
        <v>130</v>
      </c>
      <c r="CD23" s="149" t="str">
        <f t="shared" si="35"/>
        <v/>
      </c>
      <c r="CE23" s="699"/>
      <c r="CF23" s="700"/>
      <c r="CG23" s="701"/>
      <c r="CH23" s="150"/>
      <c r="CI23" s="583" t="s">
        <v>196</v>
      </c>
      <c r="CJ23" s="584">
        <f>CD43+BW43+BP43+BI43+BB43+AU43+AN43+AG43+Z43+S43+L43+E43</f>
        <v>0</v>
      </c>
      <c r="CK23" s="152"/>
      <c r="CL23" s="152"/>
    </row>
    <row r="24" spans="1:90" ht="18" customHeight="1">
      <c r="A24" s="595" t="s">
        <v>131</v>
      </c>
      <c r="B24" s="146">
        <f t="shared" si="0"/>
        <v>20</v>
      </c>
      <c r="C24" s="147" t="str">
        <f t="shared" si="1"/>
        <v>lø</v>
      </c>
      <c r="D24" s="436" t="s">
        <v>62</v>
      </c>
      <c r="E24" s="149" t="str">
        <f t="shared" si="2"/>
        <v/>
      </c>
      <c r="F24" s="699"/>
      <c r="G24" s="700"/>
      <c r="H24" s="701"/>
      <c r="I24" s="146">
        <f t="shared" si="3"/>
        <v>20</v>
      </c>
      <c r="J24" s="147" t="str">
        <f t="shared" si="4"/>
        <v>ti</v>
      </c>
      <c r="K24" s="436" t="s">
        <v>130</v>
      </c>
      <c r="L24" s="149" t="str">
        <f t="shared" si="5"/>
        <v/>
      </c>
      <c r="M24" s="696"/>
      <c r="N24" s="694"/>
      <c r="O24" s="695"/>
      <c r="P24" s="146">
        <f t="shared" si="6"/>
        <v>20</v>
      </c>
      <c r="Q24" s="147" t="str">
        <f t="shared" si="7"/>
        <v>to</v>
      </c>
      <c r="R24" s="436" t="s">
        <v>130</v>
      </c>
      <c r="S24" s="149" t="str">
        <f t="shared" si="8"/>
        <v/>
      </c>
      <c r="T24" s="699"/>
      <c r="U24" s="700"/>
      <c r="V24" s="701"/>
      <c r="W24" s="146">
        <f t="shared" si="9"/>
        <v>20</v>
      </c>
      <c r="X24" s="147" t="str">
        <f t="shared" si="10"/>
        <v>sø</v>
      </c>
      <c r="Y24" s="436" t="s">
        <v>62</v>
      </c>
      <c r="Z24" s="149" t="str">
        <f t="shared" si="11"/>
        <v/>
      </c>
      <c r="AA24" s="699"/>
      <c r="AB24" s="700"/>
      <c r="AC24" s="701"/>
      <c r="AD24" s="146">
        <f t="shared" si="12"/>
        <v>20</v>
      </c>
      <c r="AE24" s="147" t="str">
        <f t="shared" si="13"/>
        <v>ti</v>
      </c>
      <c r="AF24" s="436" t="s">
        <v>130</v>
      </c>
      <c r="AG24" s="149" t="str">
        <f t="shared" si="14"/>
        <v/>
      </c>
      <c r="AH24" s="699"/>
      <c r="AI24" s="700"/>
      <c r="AJ24" s="701"/>
      <c r="AK24" s="146">
        <f t="shared" si="15"/>
        <v>20</v>
      </c>
      <c r="AL24" s="147" t="str">
        <f t="shared" si="16"/>
        <v>fr</v>
      </c>
      <c r="AM24" s="436" t="s">
        <v>130</v>
      </c>
      <c r="AN24" s="149" t="str">
        <f t="shared" si="17"/>
        <v/>
      </c>
      <c r="AO24" s="699"/>
      <c r="AP24" s="700"/>
      <c r="AQ24" s="701"/>
      <c r="AR24" s="146">
        <f t="shared" si="18"/>
        <v>20</v>
      </c>
      <c r="AS24" s="147" t="str">
        <f t="shared" si="19"/>
        <v>ma</v>
      </c>
      <c r="AT24" s="436" t="s">
        <v>130</v>
      </c>
      <c r="AU24" s="149">
        <f t="shared" si="20"/>
        <v>8.1428571428571423</v>
      </c>
      <c r="AV24" s="699"/>
      <c r="AW24" s="700"/>
      <c r="AX24" s="701"/>
      <c r="AY24" s="146">
        <f t="shared" si="21"/>
        <v>20</v>
      </c>
      <c r="AZ24" s="147" t="str">
        <f t="shared" si="22"/>
        <v>ma</v>
      </c>
      <c r="BA24" s="436" t="s">
        <v>130</v>
      </c>
      <c r="BB24" s="149">
        <f t="shared" si="23"/>
        <v>12.142857142857142</v>
      </c>
      <c r="BC24" s="699"/>
      <c r="BD24" s="700"/>
      <c r="BE24" s="701"/>
      <c r="BF24" s="146">
        <f t="shared" si="24"/>
        <v>20</v>
      </c>
      <c r="BG24" s="147" t="str">
        <f t="shared" si="25"/>
        <v>to</v>
      </c>
      <c r="BH24" s="436" t="s">
        <v>130</v>
      </c>
      <c r="BI24" s="149" t="str">
        <f t="shared" si="26"/>
        <v/>
      </c>
      <c r="BJ24" s="699"/>
      <c r="BK24" s="700"/>
      <c r="BL24" s="701"/>
      <c r="BM24" s="146">
        <f t="shared" si="27"/>
        <v>20</v>
      </c>
      <c r="BN24" s="147" t="str">
        <f t="shared" si="28"/>
        <v>lø</v>
      </c>
      <c r="BO24" s="436" t="s">
        <v>62</v>
      </c>
      <c r="BP24" s="149" t="str">
        <f t="shared" si="29"/>
        <v/>
      </c>
      <c r="BQ24" s="699"/>
      <c r="BR24" s="700"/>
      <c r="BS24" s="701"/>
      <c r="BT24" s="146">
        <f t="shared" si="30"/>
        <v>20</v>
      </c>
      <c r="BU24" s="147" t="str">
        <f t="shared" si="31"/>
        <v>ti</v>
      </c>
      <c r="BV24" s="436" t="s">
        <v>130</v>
      </c>
      <c r="BW24" s="149" t="str">
        <f t="shared" si="32"/>
        <v/>
      </c>
      <c r="BX24" s="699"/>
      <c r="BY24" s="700"/>
      <c r="BZ24" s="701"/>
      <c r="CA24" s="146">
        <f t="shared" si="33"/>
        <v>20</v>
      </c>
      <c r="CB24" s="147" t="str">
        <f t="shared" si="34"/>
        <v>to</v>
      </c>
      <c r="CC24" s="436" t="s">
        <v>130</v>
      </c>
      <c r="CD24" s="149" t="str">
        <f t="shared" si="35"/>
        <v/>
      </c>
      <c r="CE24" s="699"/>
      <c r="CF24" s="700"/>
      <c r="CG24" s="701"/>
      <c r="CH24" s="150"/>
      <c r="CI24" s="585" t="s">
        <v>197</v>
      </c>
      <c r="CJ24" s="586">
        <f t="shared" si="38"/>
        <v>0</v>
      </c>
      <c r="CK24" s="152"/>
      <c r="CL24" s="152"/>
    </row>
    <row r="25" spans="1:90" ht="18" customHeight="1">
      <c r="A25" s="596" t="str">
        <f t="shared" ref="A25:A28" si="39">A48</f>
        <v>Særlig uge 1</v>
      </c>
      <c r="B25" s="146">
        <f t="shared" si="0"/>
        <v>21</v>
      </c>
      <c r="C25" s="147" t="str">
        <f t="shared" si="1"/>
        <v>sø</v>
      </c>
      <c r="D25" s="436" t="s">
        <v>62</v>
      </c>
      <c r="E25" s="149" t="str">
        <f t="shared" si="2"/>
        <v/>
      </c>
      <c r="F25" s="699"/>
      <c r="G25" s="700"/>
      <c r="H25" s="701"/>
      <c r="I25" s="146">
        <f t="shared" si="3"/>
        <v>21</v>
      </c>
      <c r="J25" s="147" t="str">
        <f t="shared" si="4"/>
        <v>on</v>
      </c>
      <c r="K25" s="148" t="s">
        <v>130</v>
      </c>
      <c r="L25" s="149" t="str">
        <f t="shared" si="5"/>
        <v/>
      </c>
      <c r="M25" s="696"/>
      <c r="N25" s="694"/>
      <c r="O25" s="695"/>
      <c r="P25" s="146">
        <f t="shared" si="6"/>
        <v>21</v>
      </c>
      <c r="Q25" s="147" t="str">
        <f t="shared" si="7"/>
        <v>fr</v>
      </c>
      <c r="R25" s="436" t="s">
        <v>130</v>
      </c>
      <c r="S25" s="149" t="str">
        <f t="shared" si="8"/>
        <v/>
      </c>
      <c r="T25" s="699"/>
      <c r="U25" s="700"/>
      <c r="V25" s="701"/>
      <c r="W25" s="146">
        <f t="shared" si="9"/>
        <v>21</v>
      </c>
      <c r="X25" s="147" t="str">
        <f t="shared" si="10"/>
        <v>ma</v>
      </c>
      <c r="Y25" s="436" t="s">
        <v>130</v>
      </c>
      <c r="Z25" s="149">
        <f t="shared" si="11"/>
        <v>47.285714285714285</v>
      </c>
      <c r="AA25" s="699"/>
      <c r="AB25" s="700"/>
      <c r="AC25" s="701"/>
      <c r="AD25" s="146">
        <f t="shared" si="12"/>
        <v>21</v>
      </c>
      <c r="AE25" s="147" t="str">
        <f t="shared" si="13"/>
        <v>on</v>
      </c>
      <c r="AF25" s="436" t="s">
        <v>130</v>
      </c>
      <c r="AG25" s="149" t="str">
        <f t="shared" si="14"/>
        <v/>
      </c>
      <c r="AH25" s="699"/>
      <c r="AI25" s="700"/>
      <c r="AJ25" s="701"/>
      <c r="AK25" s="146">
        <f t="shared" si="15"/>
        <v>21</v>
      </c>
      <c r="AL25" s="147" t="str">
        <f t="shared" si="16"/>
        <v>lø</v>
      </c>
      <c r="AM25" s="436" t="s">
        <v>62</v>
      </c>
      <c r="AN25" s="149" t="str">
        <f t="shared" si="17"/>
        <v/>
      </c>
      <c r="AO25" s="699"/>
      <c r="AP25" s="700"/>
      <c r="AQ25" s="701"/>
      <c r="AR25" s="146">
        <f t="shared" si="18"/>
        <v>21</v>
      </c>
      <c r="AS25" s="147" t="str">
        <f t="shared" si="19"/>
        <v>ti</v>
      </c>
      <c r="AT25" s="436" t="s">
        <v>130</v>
      </c>
      <c r="AU25" s="149" t="str">
        <f t="shared" si="20"/>
        <v/>
      </c>
      <c r="AV25" s="699"/>
      <c r="AW25" s="700"/>
      <c r="AX25" s="701"/>
      <c r="AY25" s="146">
        <f t="shared" si="21"/>
        <v>21</v>
      </c>
      <c r="AZ25" s="147" t="str">
        <f t="shared" si="22"/>
        <v>ti</v>
      </c>
      <c r="BA25" s="436" t="s">
        <v>130</v>
      </c>
      <c r="BB25" s="149" t="str">
        <f t="shared" si="23"/>
        <v/>
      </c>
      <c r="BC25" s="699"/>
      <c r="BD25" s="700"/>
      <c r="BE25" s="701"/>
      <c r="BF25" s="146">
        <f t="shared" si="24"/>
        <v>21</v>
      </c>
      <c r="BG25" s="147" t="str">
        <f t="shared" si="25"/>
        <v>fr</v>
      </c>
      <c r="BH25" s="436" t="s">
        <v>130</v>
      </c>
      <c r="BI25" s="149" t="str">
        <f t="shared" si="26"/>
        <v/>
      </c>
      <c r="BJ25" s="699"/>
      <c r="BK25" s="700"/>
      <c r="BL25" s="701"/>
      <c r="BM25" s="146">
        <f t="shared" si="27"/>
        <v>21</v>
      </c>
      <c r="BN25" s="147" t="str">
        <f t="shared" si="28"/>
        <v>sø</v>
      </c>
      <c r="BO25" s="436" t="s">
        <v>62</v>
      </c>
      <c r="BP25" s="149" t="str">
        <f t="shared" si="29"/>
        <v/>
      </c>
      <c r="BQ25" s="702"/>
      <c r="BR25" s="700"/>
      <c r="BS25" s="701"/>
      <c r="BT25" s="146">
        <f t="shared" si="30"/>
        <v>21</v>
      </c>
      <c r="BU25" s="147" t="str">
        <f t="shared" si="31"/>
        <v>on</v>
      </c>
      <c r="BV25" s="436" t="s">
        <v>130</v>
      </c>
      <c r="BW25" s="149" t="str">
        <f t="shared" si="32"/>
        <v/>
      </c>
      <c r="BX25" s="699"/>
      <c r="BY25" s="700"/>
      <c r="BZ25" s="701"/>
      <c r="CA25" s="146">
        <f t="shared" si="33"/>
        <v>21</v>
      </c>
      <c r="CB25" s="147" t="str">
        <f t="shared" si="34"/>
        <v>fr</v>
      </c>
      <c r="CC25" s="436" t="s">
        <v>130</v>
      </c>
      <c r="CD25" s="149" t="str">
        <f t="shared" si="35"/>
        <v/>
      </c>
      <c r="CE25" s="699"/>
      <c r="CF25" s="700"/>
      <c r="CG25" s="701"/>
      <c r="CH25" s="150"/>
      <c r="CI25" s="587" t="s">
        <v>198</v>
      </c>
      <c r="CJ25" s="588">
        <f t="shared" si="38"/>
        <v>0</v>
      </c>
      <c r="CK25" s="152"/>
      <c r="CL25" s="152"/>
    </row>
    <row r="26" spans="1:90" ht="18" customHeight="1">
      <c r="A26" s="597" t="str">
        <f t="shared" si="39"/>
        <v>Særlig uge 2</v>
      </c>
      <c r="B26" s="146">
        <f t="shared" si="0"/>
        <v>22</v>
      </c>
      <c r="C26" s="147" t="str">
        <f t="shared" si="1"/>
        <v>ma</v>
      </c>
      <c r="D26" s="436" t="s">
        <v>130</v>
      </c>
      <c r="E26" s="149">
        <f t="shared" si="2"/>
        <v>34.285714285714285</v>
      </c>
      <c r="F26" s="699"/>
      <c r="G26" s="700"/>
      <c r="H26" s="701"/>
      <c r="I26" s="146">
        <f t="shared" si="3"/>
        <v>22</v>
      </c>
      <c r="J26" s="147" t="str">
        <f t="shared" si="4"/>
        <v>to</v>
      </c>
      <c r="K26" s="148" t="s">
        <v>130</v>
      </c>
      <c r="L26" s="149" t="str">
        <f t="shared" si="5"/>
        <v/>
      </c>
      <c r="M26" s="696"/>
      <c r="N26" s="694"/>
      <c r="O26" s="695"/>
      <c r="P26" s="146">
        <f t="shared" si="6"/>
        <v>22</v>
      </c>
      <c r="Q26" s="147" t="str">
        <f t="shared" si="7"/>
        <v>lø</v>
      </c>
      <c r="R26" s="436" t="s">
        <v>62</v>
      </c>
      <c r="S26" s="149" t="str">
        <f t="shared" si="8"/>
        <v/>
      </c>
      <c r="T26" s="699"/>
      <c r="U26" s="700"/>
      <c r="V26" s="701"/>
      <c r="W26" s="146">
        <f t="shared" si="9"/>
        <v>22</v>
      </c>
      <c r="X26" s="147" t="str">
        <f t="shared" si="10"/>
        <v>ti</v>
      </c>
      <c r="Y26" s="436" t="s">
        <v>130</v>
      </c>
      <c r="Z26" s="149" t="str">
        <f t="shared" si="11"/>
        <v/>
      </c>
      <c r="AA26" s="699"/>
      <c r="AB26" s="700"/>
      <c r="AC26" s="701"/>
      <c r="AD26" s="146">
        <f t="shared" si="12"/>
        <v>22</v>
      </c>
      <c r="AE26" s="147" t="str">
        <f t="shared" si="13"/>
        <v>to</v>
      </c>
      <c r="AF26" s="436" t="s">
        <v>130</v>
      </c>
      <c r="AG26" s="149" t="str">
        <f t="shared" si="14"/>
        <v/>
      </c>
      <c r="AH26" s="699"/>
      <c r="AI26" s="700"/>
      <c r="AJ26" s="701"/>
      <c r="AK26" s="146">
        <f t="shared" si="15"/>
        <v>22</v>
      </c>
      <c r="AL26" s="147" t="str">
        <f t="shared" si="16"/>
        <v>sø</v>
      </c>
      <c r="AM26" s="436" t="s">
        <v>62</v>
      </c>
      <c r="AN26" s="149" t="str">
        <f t="shared" si="17"/>
        <v/>
      </c>
      <c r="AO26" s="699"/>
      <c r="AP26" s="700"/>
      <c r="AQ26" s="701"/>
      <c r="AR26" s="146">
        <f t="shared" si="18"/>
        <v>22</v>
      </c>
      <c r="AS26" s="147" t="str">
        <f t="shared" si="19"/>
        <v>on</v>
      </c>
      <c r="AT26" s="436" t="s">
        <v>130</v>
      </c>
      <c r="AU26" s="149" t="str">
        <f t="shared" si="20"/>
        <v/>
      </c>
      <c r="AV26" s="699"/>
      <c r="AW26" s="700"/>
      <c r="AX26" s="701"/>
      <c r="AY26" s="146">
        <f t="shared" si="21"/>
        <v>22</v>
      </c>
      <c r="AZ26" s="147" t="str">
        <f t="shared" si="22"/>
        <v>on</v>
      </c>
      <c r="BA26" s="436" t="s">
        <v>130</v>
      </c>
      <c r="BB26" s="149" t="str">
        <f t="shared" si="23"/>
        <v/>
      </c>
      <c r="BC26" s="699"/>
      <c r="BD26" s="700"/>
      <c r="BE26" s="701"/>
      <c r="BF26" s="146">
        <f t="shared" si="24"/>
        <v>22</v>
      </c>
      <c r="BG26" s="147" t="str">
        <f t="shared" si="25"/>
        <v>lø</v>
      </c>
      <c r="BH26" s="436" t="s">
        <v>62</v>
      </c>
      <c r="BI26" s="149" t="str">
        <f t="shared" si="26"/>
        <v/>
      </c>
      <c r="BJ26" s="699"/>
      <c r="BK26" s="700"/>
      <c r="BL26" s="701"/>
      <c r="BM26" s="146">
        <f t="shared" si="27"/>
        <v>22</v>
      </c>
      <c r="BN26" s="147" t="str">
        <f t="shared" si="28"/>
        <v>ma</v>
      </c>
      <c r="BO26" s="436" t="s">
        <v>130</v>
      </c>
      <c r="BP26" s="149">
        <f t="shared" si="29"/>
        <v>21.142857142857142</v>
      </c>
      <c r="BQ26" s="702"/>
      <c r="BR26" s="700"/>
      <c r="BS26" s="701"/>
      <c r="BT26" s="146">
        <f t="shared" si="30"/>
        <v>22</v>
      </c>
      <c r="BU26" s="147" t="str">
        <f t="shared" si="31"/>
        <v>to</v>
      </c>
      <c r="BV26" s="436" t="s">
        <v>130</v>
      </c>
      <c r="BW26" s="149" t="str">
        <f t="shared" si="32"/>
        <v/>
      </c>
      <c r="BX26" s="702"/>
      <c r="BY26" s="700"/>
      <c r="BZ26" s="701"/>
      <c r="CA26" s="146">
        <f t="shared" si="33"/>
        <v>22</v>
      </c>
      <c r="CB26" s="147" t="str">
        <f t="shared" si="34"/>
        <v>lø</v>
      </c>
      <c r="CC26" s="436" t="s">
        <v>62</v>
      </c>
      <c r="CD26" s="149" t="str">
        <f t="shared" si="35"/>
        <v/>
      </c>
      <c r="CE26" s="699"/>
      <c r="CF26" s="700"/>
      <c r="CG26" s="701"/>
      <c r="CH26" s="150"/>
      <c r="CI26" s="589" t="s">
        <v>199</v>
      </c>
      <c r="CJ26" s="590">
        <f t="shared" si="38"/>
        <v>0</v>
      </c>
      <c r="CK26" s="152"/>
      <c r="CL26" s="152"/>
    </row>
    <row r="27" spans="1:90" ht="18" customHeight="1">
      <c r="A27" s="598" t="str">
        <f t="shared" si="39"/>
        <v>Særlig uge 3</v>
      </c>
      <c r="B27" s="146">
        <f t="shared" si="0"/>
        <v>23</v>
      </c>
      <c r="C27" s="147" t="str">
        <f t="shared" si="1"/>
        <v>ti</v>
      </c>
      <c r="D27" s="436" t="s">
        <v>130</v>
      </c>
      <c r="E27" s="149" t="str">
        <f t="shared" si="2"/>
        <v/>
      </c>
      <c r="F27" s="699"/>
      <c r="G27" s="700"/>
      <c r="H27" s="701"/>
      <c r="I27" s="146">
        <f t="shared" si="3"/>
        <v>23</v>
      </c>
      <c r="J27" s="147" t="str">
        <f t="shared" si="4"/>
        <v>fr</v>
      </c>
      <c r="K27" s="436" t="s">
        <v>130</v>
      </c>
      <c r="L27" s="149" t="str">
        <f t="shared" si="5"/>
        <v/>
      </c>
      <c r="M27" s="696"/>
      <c r="N27" s="694"/>
      <c r="O27" s="695"/>
      <c r="P27" s="146">
        <f t="shared" si="6"/>
        <v>23</v>
      </c>
      <c r="Q27" s="147" t="str">
        <f t="shared" si="7"/>
        <v>sø</v>
      </c>
      <c r="R27" s="436" t="s">
        <v>62</v>
      </c>
      <c r="S27" s="149" t="str">
        <f t="shared" si="8"/>
        <v/>
      </c>
      <c r="T27" s="699"/>
      <c r="U27" s="700"/>
      <c r="V27" s="701"/>
      <c r="W27" s="146">
        <f t="shared" si="9"/>
        <v>23</v>
      </c>
      <c r="X27" s="147" t="str">
        <f t="shared" si="10"/>
        <v>on</v>
      </c>
      <c r="Y27" s="436" t="s">
        <v>130</v>
      </c>
      <c r="Z27" s="149" t="str">
        <f t="shared" si="11"/>
        <v/>
      </c>
      <c r="AA27" s="699"/>
      <c r="AB27" s="700"/>
      <c r="AC27" s="701"/>
      <c r="AD27" s="146">
        <f t="shared" si="12"/>
        <v>23</v>
      </c>
      <c r="AE27" s="147" t="str">
        <f t="shared" si="13"/>
        <v>fr</v>
      </c>
      <c r="AF27" s="436" t="s">
        <v>130</v>
      </c>
      <c r="AG27" s="149" t="str">
        <f t="shared" si="14"/>
        <v/>
      </c>
      <c r="AH27" s="699"/>
      <c r="AI27" s="700"/>
      <c r="AJ27" s="701"/>
      <c r="AK27" s="146">
        <f t="shared" si="15"/>
        <v>23</v>
      </c>
      <c r="AL27" s="147" t="str">
        <f t="shared" si="16"/>
        <v>ma</v>
      </c>
      <c r="AM27" s="436" t="s">
        <v>130</v>
      </c>
      <c r="AN27" s="149">
        <f t="shared" si="17"/>
        <v>4.1428571428571432</v>
      </c>
      <c r="AO27" s="699"/>
      <c r="AP27" s="700"/>
      <c r="AQ27" s="701"/>
      <c r="AR27" s="146">
        <f t="shared" si="18"/>
        <v>23</v>
      </c>
      <c r="AS27" s="147" t="str">
        <f t="shared" si="19"/>
        <v>to</v>
      </c>
      <c r="AT27" s="436" t="s">
        <v>130</v>
      </c>
      <c r="AU27" s="149" t="str">
        <f t="shared" si="20"/>
        <v/>
      </c>
      <c r="AV27" s="699"/>
      <c r="AW27" s="700"/>
      <c r="AX27" s="701"/>
      <c r="AY27" s="146">
        <f t="shared" si="21"/>
        <v>23</v>
      </c>
      <c r="AZ27" s="147" t="str">
        <f t="shared" si="22"/>
        <v>to</v>
      </c>
      <c r="BA27" s="436" t="s">
        <v>130</v>
      </c>
      <c r="BB27" s="149" t="str">
        <f t="shared" si="23"/>
        <v/>
      </c>
      <c r="BC27" s="699"/>
      <c r="BD27" s="700"/>
      <c r="BE27" s="701"/>
      <c r="BF27" s="146">
        <f t="shared" si="24"/>
        <v>23</v>
      </c>
      <c r="BG27" s="147" t="str">
        <f t="shared" si="25"/>
        <v>sø</v>
      </c>
      <c r="BH27" s="436" t="s">
        <v>62</v>
      </c>
      <c r="BI27" s="149" t="str">
        <f t="shared" si="26"/>
        <v/>
      </c>
      <c r="BJ27" s="699"/>
      <c r="BK27" s="700"/>
      <c r="BL27" s="701"/>
      <c r="BM27" s="146">
        <f t="shared" si="27"/>
        <v>23</v>
      </c>
      <c r="BN27" s="147" t="str">
        <f t="shared" si="28"/>
        <v>ti</v>
      </c>
      <c r="BO27" s="436" t="s">
        <v>130</v>
      </c>
      <c r="BP27" s="149" t="str">
        <f t="shared" si="29"/>
        <v/>
      </c>
      <c r="BQ27" s="699"/>
      <c r="BR27" s="700"/>
      <c r="BS27" s="701"/>
      <c r="BT27" s="146">
        <f t="shared" si="30"/>
        <v>23</v>
      </c>
      <c r="BU27" s="147" t="str">
        <f t="shared" si="31"/>
        <v>fr</v>
      </c>
      <c r="BV27" s="436" t="s">
        <v>130</v>
      </c>
      <c r="BW27" s="149" t="str">
        <f t="shared" si="32"/>
        <v/>
      </c>
      <c r="BX27" s="699"/>
      <c r="BY27" s="700"/>
      <c r="BZ27" s="701"/>
      <c r="CA27" s="146">
        <f t="shared" si="33"/>
        <v>23</v>
      </c>
      <c r="CB27" s="147" t="str">
        <f t="shared" si="34"/>
        <v>sø</v>
      </c>
      <c r="CC27" s="436" t="s">
        <v>62</v>
      </c>
      <c r="CD27" s="149" t="str">
        <f t="shared" si="35"/>
        <v/>
      </c>
      <c r="CE27" s="699"/>
      <c r="CF27" s="700"/>
      <c r="CG27" s="701"/>
      <c r="CH27" s="150"/>
      <c r="CI27" s="273" t="str">
        <f t="shared" ref="CI27:CI34" si="40">A56</f>
        <v>Koloni</v>
      </c>
      <c r="CJ27" s="288">
        <f t="shared" si="38"/>
        <v>0</v>
      </c>
      <c r="CK27" s="152"/>
      <c r="CL27" s="152"/>
    </row>
    <row r="28" spans="1:90" ht="18" customHeight="1">
      <c r="A28" s="599" t="str">
        <f t="shared" si="39"/>
        <v>Særlig uge 4</v>
      </c>
      <c r="B28" s="146">
        <f>IF(ISNUMBER(B27),B27+1,1)</f>
        <v>24</v>
      </c>
      <c r="C28" s="147" t="str">
        <f t="shared" si="1"/>
        <v>on</v>
      </c>
      <c r="D28" s="436" t="s">
        <v>130</v>
      </c>
      <c r="E28" s="149" t="str">
        <f t="shared" si="2"/>
        <v/>
      </c>
      <c r="F28" s="699"/>
      <c r="G28" s="700"/>
      <c r="H28" s="701"/>
      <c r="I28" s="146">
        <f>IF(ISNUMBER(I27),I27+1,1)</f>
        <v>24</v>
      </c>
      <c r="J28" s="147" t="str">
        <f t="shared" si="4"/>
        <v>lø</v>
      </c>
      <c r="K28" s="436" t="s">
        <v>62</v>
      </c>
      <c r="L28" s="149" t="str">
        <f t="shared" si="5"/>
        <v/>
      </c>
      <c r="M28" s="696"/>
      <c r="N28" s="694"/>
      <c r="O28" s="695"/>
      <c r="P28" s="146">
        <f>IF(ISNUMBER(P27),P27+1,1)</f>
        <v>24</v>
      </c>
      <c r="Q28" s="147" t="str">
        <f t="shared" si="7"/>
        <v>ma</v>
      </c>
      <c r="R28" s="436" t="s">
        <v>130</v>
      </c>
      <c r="S28" s="149">
        <f t="shared" si="8"/>
        <v>43.285714285714285</v>
      </c>
      <c r="T28" s="699"/>
      <c r="U28" s="700"/>
      <c r="V28" s="701"/>
      <c r="W28" s="146">
        <f>IF(ISNUMBER(W27),W27+1,1)</f>
        <v>24</v>
      </c>
      <c r="X28" s="147" t="str">
        <f t="shared" si="10"/>
        <v>to</v>
      </c>
      <c r="Y28" s="436" t="s">
        <v>130</v>
      </c>
      <c r="Z28" s="149" t="str">
        <f t="shared" si="11"/>
        <v/>
      </c>
      <c r="AA28" s="699"/>
      <c r="AB28" s="700"/>
      <c r="AC28" s="701"/>
      <c r="AD28" s="146">
        <f>IF(ISNUMBER(AD27),AD27+1,1)</f>
        <v>24</v>
      </c>
      <c r="AE28" s="147" t="str">
        <f t="shared" si="13"/>
        <v>lø</v>
      </c>
      <c r="AF28" s="436" t="s">
        <v>62</v>
      </c>
      <c r="AG28" s="149" t="str">
        <f t="shared" si="14"/>
        <v/>
      </c>
      <c r="AH28" s="699" t="s">
        <v>65</v>
      </c>
      <c r="AI28" s="700"/>
      <c r="AJ28" s="701"/>
      <c r="AK28" s="146">
        <f>IF(ISNUMBER(AK27),AK27+1,1)</f>
        <v>24</v>
      </c>
      <c r="AL28" s="147" t="str">
        <f t="shared" si="16"/>
        <v>ti</v>
      </c>
      <c r="AM28" s="436" t="s">
        <v>130</v>
      </c>
      <c r="AN28" s="149" t="str">
        <f t="shared" si="17"/>
        <v/>
      </c>
      <c r="AO28" s="699"/>
      <c r="AP28" s="700"/>
      <c r="AQ28" s="701"/>
      <c r="AR28" s="146">
        <f>IF(ISNUMBER(AR27),AR27+1,1)</f>
        <v>24</v>
      </c>
      <c r="AS28" s="147" t="str">
        <f t="shared" si="19"/>
        <v>fr</v>
      </c>
      <c r="AT28" s="436" t="s">
        <v>130</v>
      </c>
      <c r="AU28" s="149" t="str">
        <f t="shared" si="20"/>
        <v/>
      </c>
      <c r="AV28" s="699"/>
      <c r="AW28" s="700"/>
      <c r="AX28" s="701"/>
      <c r="AY28" s="146">
        <f>IF(ISNUMBER(AY27),AY27+1,1)</f>
        <v>24</v>
      </c>
      <c r="AZ28" s="147" t="str">
        <f t="shared" si="22"/>
        <v>fr</v>
      </c>
      <c r="BA28" s="436" t="s">
        <v>130</v>
      </c>
      <c r="BB28" s="149" t="str">
        <f t="shared" si="23"/>
        <v/>
      </c>
      <c r="BC28" s="699"/>
      <c r="BD28" s="700"/>
      <c r="BE28" s="701"/>
      <c r="BF28" s="146">
        <f>IF(ISNUMBER(BF27),BF27+1,1)</f>
        <v>24</v>
      </c>
      <c r="BG28" s="147" t="str">
        <f t="shared" si="25"/>
        <v>ma</v>
      </c>
      <c r="BH28" s="436" t="s">
        <v>130</v>
      </c>
      <c r="BI28" s="149">
        <f t="shared" si="26"/>
        <v>17.142857142857142</v>
      </c>
      <c r="BJ28" s="699"/>
      <c r="BK28" s="700"/>
      <c r="BL28" s="701"/>
      <c r="BM28" s="146">
        <f>IF(ISNUMBER(BM27),BM27+1,1)</f>
        <v>24</v>
      </c>
      <c r="BN28" s="147" t="str">
        <f t="shared" si="28"/>
        <v>on</v>
      </c>
      <c r="BO28" s="436" t="s">
        <v>130</v>
      </c>
      <c r="BP28" s="149" t="str">
        <f t="shared" si="29"/>
        <v/>
      </c>
      <c r="BQ28" s="699"/>
      <c r="BR28" s="700"/>
      <c r="BS28" s="701"/>
      <c r="BT28" s="146">
        <f>IF(ISNUMBER(BT27),BT27+1,1)</f>
        <v>24</v>
      </c>
      <c r="BU28" s="147" t="str">
        <f t="shared" si="31"/>
        <v>lø</v>
      </c>
      <c r="BV28" s="436" t="s">
        <v>62</v>
      </c>
      <c r="BW28" s="149" t="str">
        <f t="shared" si="32"/>
        <v/>
      </c>
      <c r="BX28" s="699"/>
      <c r="BY28" s="700"/>
      <c r="BZ28" s="701"/>
      <c r="CA28" s="146">
        <f>IF(ISNUMBER(CA27),CA27+1,1)</f>
        <v>24</v>
      </c>
      <c r="CB28" s="147" t="str">
        <f t="shared" si="34"/>
        <v>ma</v>
      </c>
      <c r="CC28" s="436" t="s">
        <v>130</v>
      </c>
      <c r="CD28" s="149">
        <f t="shared" si="35"/>
        <v>30.142857142857142</v>
      </c>
      <c r="CE28" s="699"/>
      <c r="CF28" s="700"/>
      <c r="CG28" s="701"/>
      <c r="CH28" s="150"/>
      <c r="CI28" s="593" t="str">
        <f t="shared" si="40"/>
        <v>Ekskursion</v>
      </c>
      <c r="CJ28" s="594">
        <f t="shared" si="38"/>
        <v>0</v>
      </c>
      <c r="CK28" s="152"/>
      <c r="CL28" s="152"/>
    </row>
    <row r="29" spans="1:90" ht="18" customHeight="1">
      <c r="A29" s="600" t="s">
        <v>196</v>
      </c>
      <c r="B29" s="146">
        <f t="shared" si="0"/>
        <v>25</v>
      </c>
      <c r="C29" s="147" t="str">
        <f t="shared" si="1"/>
        <v>to</v>
      </c>
      <c r="D29" s="436" t="s">
        <v>130</v>
      </c>
      <c r="E29" s="149" t="str">
        <f t="shared" si="2"/>
        <v/>
      </c>
      <c r="F29" s="699"/>
      <c r="G29" s="700"/>
      <c r="H29" s="701"/>
      <c r="I29" s="146">
        <f t="shared" si="3"/>
        <v>25</v>
      </c>
      <c r="J29" s="147" t="str">
        <f t="shared" si="4"/>
        <v>sø</v>
      </c>
      <c r="K29" s="436" t="s">
        <v>62</v>
      </c>
      <c r="L29" s="149" t="str">
        <f t="shared" si="5"/>
        <v/>
      </c>
      <c r="M29" s="696"/>
      <c r="N29" s="694"/>
      <c r="O29" s="695"/>
      <c r="P29" s="146">
        <f t="shared" si="6"/>
        <v>25</v>
      </c>
      <c r="Q29" s="147" t="str">
        <f t="shared" si="7"/>
        <v>ti</v>
      </c>
      <c r="R29" s="436" t="s">
        <v>130</v>
      </c>
      <c r="S29" s="149" t="str">
        <f t="shared" si="8"/>
        <v/>
      </c>
      <c r="T29" s="699"/>
      <c r="U29" s="700"/>
      <c r="V29" s="701"/>
      <c r="W29" s="146">
        <f t="shared" si="9"/>
        <v>25</v>
      </c>
      <c r="X29" s="147" t="str">
        <f t="shared" si="10"/>
        <v>fr</v>
      </c>
      <c r="Y29" s="436" t="s">
        <v>130</v>
      </c>
      <c r="Z29" s="149" t="str">
        <f t="shared" si="11"/>
        <v/>
      </c>
      <c r="AA29" s="699"/>
      <c r="AB29" s="700"/>
      <c r="AC29" s="701"/>
      <c r="AD29" s="146">
        <f t="shared" si="12"/>
        <v>25</v>
      </c>
      <c r="AE29" s="147" t="str">
        <f t="shared" si="13"/>
        <v>sø</v>
      </c>
      <c r="AF29" s="436" t="s">
        <v>62</v>
      </c>
      <c r="AG29" s="149" t="str">
        <f t="shared" si="14"/>
        <v/>
      </c>
      <c r="AH29" s="699" t="s">
        <v>95</v>
      </c>
      <c r="AI29" s="700"/>
      <c r="AJ29" s="701"/>
      <c r="AK29" s="146">
        <f t="shared" si="15"/>
        <v>25</v>
      </c>
      <c r="AL29" s="147" t="str">
        <f t="shared" si="16"/>
        <v>on</v>
      </c>
      <c r="AM29" s="436" t="s">
        <v>130</v>
      </c>
      <c r="AN29" s="149" t="str">
        <f t="shared" si="17"/>
        <v/>
      </c>
      <c r="AO29" s="699"/>
      <c r="AP29" s="700"/>
      <c r="AQ29" s="701"/>
      <c r="AR29" s="146">
        <f t="shared" si="18"/>
        <v>25</v>
      </c>
      <c r="AS29" s="147" t="str">
        <f t="shared" si="19"/>
        <v>lø</v>
      </c>
      <c r="AT29" s="436" t="s">
        <v>62</v>
      </c>
      <c r="AU29" s="149" t="str">
        <f t="shared" si="20"/>
        <v/>
      </c>
      <c r="AV29" s="699"/>
      <c r="AW29" s="700"/>
      <c r="AX29" s="701"/>
      <c r="AY29" s="146">
        <f t="shared" si="21"/>
        <v>25</v>
      </c>
      <c r="AZ29" s="147" t="str">
        <f t="shared" si="22"/>
        <v>lø</v>
      </c>
      <c r="BA29" s="436" t="s">
        <v>62</v>
      </c>
      <c r="BB29" s="149" t="str">
        <f t="shared" si="23"/>
        <v/>
      </c>
      <c r="BC29" s="699"/>
      <c r="BD29" s="700"/>
      <c r="BE29" s="701"/>
      <c r="BF29" s="146">
        <f t="shared" si="24"/>
        <v>25</v>
      </c>
      <c r="BG29" s="147" t="str">
        <f t="shared" si="25"/>
        <v>ti</v>
      </c>
      <c r="BH29" s="436" t="s">
        <v>130</v>
      </c>
      <c r="BI29" s="149" t="str">
        <f t="shared" si="26"/>
        <v/>
      </c>
      <c r="BJ29" s="699"/>
      <c r="BK29" s="700"/>
      <c r="BL29" s="701"/>
      <c r="BM29" s="146">
        <f t="shared" si="27"/>
        <v>25</v>
      </c>
      <c r="BN29" s="147" t="str">
        <f t="shared" si="28"/>
        <v>to</v>
      </c>
      <c r="BO29" s="436" t="s">
        <v>130</v>
      </c>
      <c r="BP29" s="149" t="str">
        <f t="shared" si="29"/>
        <v/>
      </c>
      <c r="BQ29" s="699"/>
      <c r="BR29" s="700"/>
      <c r="BS29" s="701"/>
      <c r="BT29" s="146">
        <f t="shared" si="30"/>
        <v>25</v>
      </c>
      <c r="BU29" s="147" t="str">
        <f t="shared" si="31"/>
        <v>sø</v>
      </c>
      <c r="BV29" s="436" t="s">
        <v>62</v>
      </c>
      <c r="BW29" s="149" t="str">
        <f t="shared" si="32"/>
        <v/>
      </c>
      <c r="BX29" s="699"/>
      <c r="BY29" s="700"/>
      <c r="BZ29" s="701"/>
      <c r="CA29" s="146">
        <f t="shared" si="33"/>
        <v>25</v>
      </c>
      <c r="CB29" s="147" t="str">
        <f t="shared" si="34"/>
        <v>ti</v>
      </c>
      <c r="CC29" s="436" t="s">
        <v>130</v>
      </c>
      <c r="CD29" s="149" t="str">
        <f t="shared" si="35"/>
        <v/>
      </c>
      <c r="CE29" s="699"/>
      <c r="CF29" s="700"/>
      <c r="CG29" s="701"/>
      <c r="CH29" s="150"/>
      <c r="CI29" s="274" t="str">
        <f t="shared" si="40"/>
        <v>Pæd.dag</v>
      </c>
      <c r="CJ29" s="289">
        <f t="shared" si="38"/>
        <v>0</v>
      </c>
      <c r="CK29" s="152"/>
      <c r="CL29" s="152"/>
    </row>
    <row r="30" spans="1:90" ht="18" customHeight="1">
      <c r="A30" s="601" t="s">
        <v>197</v>
      </c>
      <c r="B30" s="146">
        <f t="shared" si="0"/>
        <v>26</v>
      </c>
      <c r="C30" s="147" t="str">
        <f t="shared" si="1"/>
        <v>fr</v>
      </c>
      <c r="D30" s="436" t="s">
        <v>130</v>
      </c>
      <c r="E30" s="149" t="str">
        <f t="shared" si="2"/>
        <v/>
      </c>
      <c r="F30" s="699"/>
      <c r="G30" s="700"/>
      <c r="H30" s="701"/>
      <c r="I30" s="146">
        <f t="shared" si="3"/>
        <v>26</v>
      </c>
      <c r="J30" s="147" t="str">
        <f t="shared" si="4"/>
        <v>ma</v>
      </c>
      <c r="K30" s="436" t="s">
        <v>130</v>
      </c>
      <c r="L30" s="149">
        <f t="shared" si="5"/>
        <v>39.285714285714285</v>
      </c>
      <c r="M30" s="696"/>
      <c r="N30" s="694"/>
      <c r="O30" s="695"/>
      <c r="P30" s="146">
        <f t="shared" si="6"/>
        <v>26</v>
      </c>
      <c r="Q30" s="147" t="str">
        <f t="shared" si="7"/>
        <v>on</v>
      </c>
      <c r="R30" s="436" t="s">
        <v>130</v>
      </c>
      <c r="S30" s="149" t="str">
        <f t="shared" si="8"/>
        <v/>
      </c>
      <c r="T30" s="699"/>
      <c r="U30" s="700"/>
      <c r="V30" s="701"/>
      <c r="W30" s="146">
        <f t="shared" si="9"/>
        <v>26</v>
      </c>
      <c r="X30" s="147" t="str">
        <f t="shared" si="10"/>
        <v>lø</v>
      </c>
      <c r="Y30" s="436" t="s">
        <v>62</v>
      </c>
      <c r="Z30" s="149" t="str">
        <f t="shared" si="11"/>
        <v/>
      </c>
      <c r="AA30" s="699"/>
      <c r="AB30" s="700"/>
      <c r="AC30" s="701"/>
      <c r="AD30" s="146">
        <f t="shared" si="12"/>
        <v>26</v>
      </c>
      <c r="AE30" s="147" t="str">
        <f t="shared" si="13"/>
        <v>ma</v>
      </c>
      <c r="AF30" s="436" t="s">
        <v>57</v>
      </c>
      <c r="AG30" s="149">
        <f t="shared" si="14"/>
        <v>52.285714285714285</v>
      </c>
      <c r="AH30" s="699" t="s">
        <v>96</v>
      </c>
      <c r="AI30" s="700"/>
      <c r="AJ30" s="701"/>
      <c r="AK30" s="146">
        <f t="shared" si="15"/>
        <v>26</v>
      </c>
      <c r="AL30" s="147" t="str">
        <f t="shared" si="16"/>
        <v>to</v>
      </c>
      <c r="AM30" s="436" t="s">
        <v>130</v>
      </c>
      <c r="AN30" s="149" t="str">
        <f t="shared" si="17"/>
        <v/>
      </c>
      <c r="AO30" s="699"/>
      <c r="AP30" s="700"/>
      <c r="AQ30" s="701"/>
      <c r="AR30" s="146">
        <f t="shared" si="18"/>
        <v>26</v>
      </c>
      <c r="AS30" s="147" t="str">
        <f t="shared" si="19"/>
        <v>sø</v>
      </c>
      <c r="AT30" s="436" t="s">
        <v>62</v>
      </c>
      <c r="AU30" s="149" t="str">
        <f t="shared" si="20"/>
        <v/>
      </c>
      <c r="AV30" s="699"/>
      <c r="AW30" s="700"/>
      <c r="AX30" s="701"/>
      <c r="AY30" s="146">
        <f t="shared" si="21"/>
        <v>26</v>
      </c>
      <c r="AZ30" s="147" t="str">
        <f t="shared" si="22"/>
        <v>sø</v>
      </c>
      <c r="BA30" s="436" t="s">
        <v>62</v>
      </c>
      <c r="BB30" s="149" t="str">
        <f t="shared" si="23"/>
        <v/>
      </c>
      <c r="BC30" s="699"/>
      <c r="BD30" s="700"/>
      <c r="BE30" s="701"/>
      <c r="BF30" s="146">
        <f t="shared" si="24"/>
        <v>26</v>
      </c>
      <c r="BG30" s="147" t="str">
        <f t="shared" si="25"/>
        <v>on</v>
      </c>
      <c r="BH30" s="436" t="s">
        <v>130</v>
      </c>
      <c r="BI30" s="149" t="str">
        <f t="shared" si="26"/>
        <v/>
      </c>
      <c r="BJ30" s="699"/>
      <c r="BK30" s="700"/>
      <c r="BL30" s="701"/>
      <c r="BM30" s="146">
        <f t="shared" si="27"/>
        <v>26</v>
      </c>
      <c r="BN30" s="147" t="str">
        <f t="shared" si="28"/>
        <v>fr</v>
      </c>
      <c r="BO30" s="436" t="s">
        <v>130</v>
      </c>
      <c r="BP30" s="149" t="str">
        <f t="shared" si="29"/>
        <v/>
      </c>
      <c r="BQ30" s="699"/>
      <c r="BR30" s="700"/>
      <c r="BS30" s="701"/>
      <c r="BT30" s="146">
        <f t="shared" si="30"/>
        <v>26</v>
      </c>
      <c r="BU30" s="147" t="str">
        <f t="shared" si="31"/>
        <v>ma</v>
      </c>
      <c r="BV30" s="436" t="s">
        <v>130</v>
      </c>
      <c r="BW30" s="149">
        <f t="shared" si="32"/>
        <v>26.142857142857142</v>
      </c>
      <c r="BX30" s="702"/>
      <c r="BY30" s="700"/>
      <c r="BZ30" s="701"/>
      <c r="CA30" s="146">
        <f t="shared" si="33"/>
        <v>26</v>
      </c>
      <c r="CB30" s="147" t="str">
        <f t="shared" si="34"/>
        <v>on</v>
      </c>
      <c r="CC30" s="436" t="s">
        <v>130</v>
      </c>
      <c r="CD30" s="149" t="str">
        <f t="shared" si="35"/>
        <v/>
      </c>
      <c r="CE30" s="699"/>
      <c r="CF30" s="700"/>
      <c r="CG30" s="701"/>
      <c r="CH30" s="150"/>
      <c r="CI30" s="275" t="str">
        <f t="shared" si="40"/>
        <v>Weekend</v>
      </c>
      <c r="CJ30" s="290">
        <f t="shared" ref="CJ30:CJ33" si="41">CD50+BW50+BP50+BI50+BB50+AU50+AN50+AG50+Z50+S50+L50+E50</f>
        <v>104</v>
      </c>
      <c r="CK30" s="152"/>
      <c r="CL30" s="152"/>
    </row>
    <row r="31" spans="1:90" ht="18" customHeight="1">
      <c r="A31" s="602" t="s">
        <v>198</v>
      </c>
      <c r="B31" s="146">
        <f>IF(ISNUMBER(B30),B30+1,1)</f>
        <v>27</v>
      </c>
      <c r="C31" s="147" t="str">
        <f t="shared" si="1"/>
        <v>lø</v>
      </c>
      <c r="D31" s="436" t="s">
        <v>62</v>
      </c>
      <c r="E31" s="149" t="str">
        <f t="shared" si="2"/>
        <v/>
      </c>
      <c r="F31" s="699"/>
      <c r="G31" s="700"/>
      <c r="H31" s="701"/>
      <c r="I31" s="146">
        <f>IF(ISNUMBER(I30),I30+1,1)</f>
        <v>27</v>
      </c>
      <c r="J31" s="147" t="str">
        <f t="shared" si="4"/>
        <v>ti</v>
      </c>
      <c r="K31" s="436" t="s">
        <v>130</v>
      </c>
      <c r="L31" s="149" t="str">
        <f t="shared" si="5"/>
        <v/>
      </c>
      <c r="M31" s="696"/>
      <c r="N31" s="694"/>
      <c r="O31" s="695"/>
      <c r="P31" s="146">
        <f>IF(ISNUMBER(P30),P30+1,1)</f>
        <v>27</v>
      </c>
      <c r="Q31" s="147" t="str">
        <f t="shared" si="7"/>
        <v>to</v>
      </c>
      <c r="R31" s="436" t="s">
        <v>130</v>
      </c>
      <c r="S31" s="149" t="str">
        <f t="shared" si="8"/>
        <v/>
      </c>
      <c r="T31" s="699"/>
      <c r="U31" s="700"/>
      <c r="V31" s="701"/>
      <c r="W31" s="146">
        <f>IF(ISNUMBER(W30),W30+1,1)</f>
        <v>27</v>
      </c>
      <c r="X31" s="147" t="str">
        <f t="shared" si="10"/>
        <v>sø</v>
      </c>
      <c r="Y31" s="436" t="s">
        <v>62</v>
      </c>
      <c r="Z31" s="149" t="str">
        <f t="shared" si="11"/>
        <v/>
      </c>
      <c r="AA31" s="699"/>
      <c r="AB31" s="700"/>
      <c r="AC31" s="701"/>
      <c r="AD31" s="146">
        <f>IF(ISNUMBER(AD30),AD30+1,1)</f>
        <v>27</v>
      </c>
      <c r="AE31" s="147" t="str">
        <f t="shared" si="13"/>
        <v>ti</v>
      </c>
      <c r="AF31" s="436" t="s">
        <v>130</v>
      </c>
      <c r="AG31" s="149" t="str">
        <f t="shared" si="14"/>
        <v/>
      </c>
      <c r="AH31" s="699"/>
      <c r="AI31" s="700"/>
      <c r="AJ31" s="701"/>
      <c r="AK31" s="146">
        <f>IF(ISNUMBER(AK30),AK30+1,1)</f>
        <v>27</v>
      </c>
      <c r="AL31" s="147" t="str">
        <f t="shared" si="16"/>
        <v>fr</v>
      </c>
      <c r="AM31" s="436" t="s">
        <v>130</v>
      </c>
      <c r="AN31" s="149" t="str">
        <f t="shared" si="17"/>
        <v/>
      </c>
      <c r="AO31" s="699"/>
      <c r="AP31" s="700"/>
      <c r="AQ31" s="701"/>
      <c r="AR31" s="146">
        <f>IF(ISNUMBER(AR30),AR30+1,1)</f>
        <v>27</v>
      </c>
      <c r="AS31" s="147" t="str">
        <f t="shared" si="19"/>
        <v>ma</v>
      </c>
      <c r="AT31" s="436" t="s">
        <v>130</v>
      </c>
      <c r="AU31" s="149">
        <f t="shared" si="20"/>
        <v>9.1428571428571423</v>
      </c>
      <c r="AV31" s="699"/>
      <c r="AW31" s="700"/>
      <c r="AX31" s="701"/>
      <c r="AY31" s="146">
        <f>IF(ISNUMBER(AY30),AY30+1,1)</f>
        <v>27</v>
      </c>
      <c r="AZ31" s="147" t="str">
        <f t="shared" si="22"/>
        <v>ma</v>
      </c>
      <c r="BA31" s="436" t="s">
        <v>130</v>
      </c>
      <c r="BB31" s="149">
        <f t="shared" si="23"/>
        <v>13.142857142857142</v>
      </c>
      <c r="BC31" s="699"/>
      <c r="BD31" s="700"/>
      <c r="BE31" s="701"/>
      <c r="BF31" s="146">
        <f>IF(ISNUMBER(BF30),BF30+1,1)</f>
        <v>27</v>
      </c>
      <c r="BG31" s="147" t="str">
        <f t="shared" si="25"/>
        <v>to</v>
      </c>
      <c r="BH31" s="436" t="s">
        <v>130</v>
      </c>
      <c r="BI31" s="149" t="str">
        <f t="shared" si="26"/>
        <v/>
      </c>
      <c r="BJ31" s="699"/>
      <c r="BK31" s="700"/>
      <c r="BL31" s="701"/>
      <c r="BM31" s="146">
        <f>IF(ISNUMBER(BM30),BM30+1,1)</f>
        <v>27</v>
      </c>
      <c r="BN31" s="147" t="str">
        <f t="shared" si="28"/>
        <v>lø</v>
      </c>
      <c r="BO31" s="436" t="s">
        <v>62</v>
      </c>
      <c r="BP31" s="149" t="str">
        <f t="shared" si="29"/>
        <v/>
      </c>
      <c r="BQ31" s="699"/>
      <c r="BR31" s="700"/>
      <c r="BS31" s="701"/>
      <c r="BT31" s="146">
        <f>IF(ISNUMBER(BT30),BT30+1,1)</f>
        <v>27</v>
      </c>
      <c r="BU31" s="147" t="str">
        <f t="shared" si="31"/>
        <v>ti</v>
      </c>
      <c r="BV31" s="436" t="s">
        <v>130</v>
      </c>
      <c r="BW31" s="149" t="str">
        <f t="shared" si="32"/>
        <v/>
      </c>
      <c r="BX31" s="699"/>
      <c r="BY31" s="700"/>
      <c r="BZ31" s="701"/>
      <c r="CA31" s="146">
        <f>IF(ISNUMBER(CA30),CA30+1,1)</f>
        <v>27</v>
      </c>
      <c r="CB31" s="147" t="str">
        <f t="shared" si="34"/>
        <v>to</v>
      </c>
      <c r="CC31" s="436" t="s">
        <v>130</v>
      </c>
      <c r="CD31" s="149" t="str">
        <f t="shared" si="35"/>
        <v/>
      </c>
      <c r="CE31" s="699"/>
      <c r="CF31" s="700"/>
      <c r="CG31" s="701"/>
      <c r="CH31" s="150"/>
      <c r="CI31" s="276" t="str">
        <f t="shared" si="40"/>
        <v>SH-dag</v>
      </c>
      <c r="CJ31" s="291">
        <f t="shared" si="41"/>
        <v>7</v>
      </c>
      <c r="CK31" s="152"/>
      <c r="CL31" s="152"/>
    </row>
    <row r="32" spans="1:90" ht="18" customHeight="1">
      <c r="A32" s="603" t="s">
        <v>199</v>
      </c>
      <c r="B32" s="146">
        <f t="shared" si="0"/>
        <v>28</v>
      </c>
      <c r="C32" s="147" t="str">
        <f t="shared" si="1"/>
        <v>sø</v>
      </c>
      <c r="D32" s="436" t="s">
        <v>62</v>
      </c>
      <c r="E32" s="149" t="str">
        <f t="shared" si="2"/>
        <v/>
      </c>
      <c r="F32" s="702"/>
      <c r="G32" s="700"/>
      <c r="H32" s="701"/>
      <c r="I32" s="146">
        <f t="shared" si="3"/>
        <v>28</v>
      </c>
      <c r="J32" s="147" t="str">
        <f t="shared" si="4"/>
        <v>on</v>
      </c>
      <c r="K32" s="148" t="s">
        <v>130</v>
      </c>
      <c r="L32" s="149" t="str">
        <f t="shared" si="5"/>
        <v/>
      </c>
      <c r="M32" s="696"/>
      <c r="N32" s="694"/>
      <c r="O32" s="695"/>
      <c r="P32" s="146">
        <f t="shared" si="6"/>
        <v>28</v>
      </c>
      <c r="Q32" s="147" t="str">
        <f t="shared" si="7"/>
        <v>fr</v>
      </c>
      <c r="R32" s="436" t="s">
        <v>130</v>
      </c>
      <c r="S32" s="149" t="str">
        <f t="shared" si="8"/>
        <v/>
      </c>
      <c r="T32" s="699"/>
      <c r="U32" s="700"/>
      <c r="V32" s="701"/>
      <c r="W32" s="146">
        <f t="shared" si="9"/>
        <v>28</v>
      </c>
      <c r="X32" s="147" t="str">
        <f t="shared" si="10"/>
        <v>ma</v>
      </c>
      <c r="Y32" s="436" t="s">
        <v>130</v>
      </c>
      <c r="Z32" s="149">
        <f t="shared" si="11"/>
        <v>48.285714285714285</v>
      </c>
      <c r="AA32" s="699"/>
      <c r="AB32" s="700"/>
      <c r="AC32" s="701"/>
      <c r="AD32" s="146">
        <f t="shared" si="12"/>
        <v>28</v>
      </c>
      <c r="AE32" s="147" t="str">
        <f t="shared" si="13"/>
        <v>on</v>
      </c>
      <c r="AF32" s="436" t="s">
        <v>130</v>
      </c>
      <c r="AG32" s="149" t="str">
        <f t="shared" si="14"/>
        <v/>
      </c>
      <c r="AH32" s="699"/>
      <c r="AI32" s="700"/>
      <c r="AJ32" s="701"/>
      <c r="AK32" s="146">
        <f t="shared" si="15"/>
        <v>28</v>
      </c>
      <c r="AL32" s="147" t="str">
        <f t="shared" si="16"/>
        <v>lø</v>
      </c>
      <c r="AM32" s="436" t="s">
        <v>62</v>
      </c>
      <c r="AN32" s="149" t="str">
        <f t="shared" si="17"/>
        <v/>
      </c>
      <c r="AO32" s="699"/>
      <c r="AP32" s="700"/>
      <c r="AQ32" s="701"/>
      <c r="AR32" s="146">
        <f t="shared" si="18"/>
        <v>28</v>
      </c>
      <c r="AS32" s="147" t="str">
        <f t="shared" si="19"/>
        <v>ti</v>
      </c>
      <c r="AT32" s="436" t="s">
        <v>130</v>
      </c>
      <c r="AU32" s="149" t="str">
        <f t="shared" si="20"/>
        <v/>
      </c>
      <c r="AV32" s="696"/>
      <c r="AW32" s="694"/>
      <c r="AX32" s="695"/>
      <c r="AY32" s="146">
        <f t="shared" si="21"/>
        <v>28</v>
      </c>
      <c r="AZ32" s="147" t="str">
        <f t="shared" si="22"/>
        <v>ti</v>
      </c>
      <c r="BA32" s="436" t="s">
        <v>130</v>
      </c>
      <c r="BB32" s="149" t="str">
        <f t="shared" si="23"/>
        <v/>
      </c>
      <c r="BC32" s="699"/>
      <c r="BD32" s="700"/>
      <c r="BE32" s="701"/>
      <c r="BF32" s="146">
        <f t="shared" si="24"/>
        <v>28</v>
      </c>
      <c r="BG32" s="147" t="str">
        <f t="shared" si="25"/>
        <v>fr</v>
      </c>
      <c r="BH32" s="436" t="s">
        <v>130</v>
      </c>
      <c r="BI32" s="149" t="str">
        <f t="shared" si="26"/>
        <v/>
      </c>
      <c r="BJ32" s="699"/>
      <c r="BK32" s="700"/>
      <c r="BL32" s="701"/>
      <c r="BM32" s="146">
        <f t="shared" si="27"/>
        <v>28</v>
      </c>
      <c r="BN32" s="147" t="str">
        <f t="shared" si="28"/>
        <v>sø</v>
      </c>
      <c r="BO32" s="436" t="s">
        <v>62</v>
      </c>
      <c r="BP32" s="149" t="str">
        <f t="shared" si="29"/>
        <v/>
      </c>
      <c r="BQ32" s="699" t="s">
        <v>263</v>
      </c>
      <c r="BR32" s="700"/>
      <c r="BS32" s="701"/>
      <c r="BT32" s="146">
        <f t="shared" si="30"/>
        <v>28</v>
      </c>
      <c r="BU32" s="147" t="str">
        <f t="shared" si="31"/>
        <v>on</v>
      </c>
      <c r="BV32" s="436" t="s">
        <v>130</v>
      </c>
      <c r="BW32" s="149" t="str">
        <f t="shared" si="32"/>
        <v/>
      </c>
      <c r="BX32" s="699"/>
      <c r="BY32" s="700"/>
      <c r="BZ32" s="701"/>
      <c r="CA32" s="146">
        <f t="shared" si="33"/>
        <v>28</v>
      </c>
      <c r="CB32" s="147" t="str">
        <f t="shared" si="34"/>
        <v>fr</v>
      </c>
      <c r="CC32" s="436" t="s">
        <v>130</v>
      </c>
      <c r="CD32" s="149" t="str">
        <f t="shared" si="35"/>
        <v/>
      </c>
      <c r="CE32" s="699"/>
      <c r="CF32" s="700"/>
      <c r="CG32" s="701"/>
      <c r="CH32" s="150"/>
      <c r="CI32" s="277" t="str">
        <f t="shared" si="40"/>
        <v>Feriedag</v>
      </c>
      <c r="CJ32" s="292">
        <f t="shared" si="41"/>
        <v>0</v>
      </c>
      <c r="CK32" s="152"/>
      <c r="CL32" s="152"/>
    </row>
    <row r="33" spans="1:90" ht="18" customHeight="1">
      <c r="A33" s="604" t="str">
        <f t="shared" ref="A33:A39" si="42">A56</f>
        <v>Koloni</v>
      </c>
      <c r="B33" s="146">
        <f t="shared" si="0"/>
        <v>29</v>
      </c>
      <c r="C33" s="147" t="str">
        <f t="shared" si="1"/>
        <v>ma</v>
      </c>
      <c r="D33" s="436" t="s">
        <v>130</v>
      </c>
      <c r="E33" s="149">
        <f t="shared" si="2"/>
        <v>35.285714285714285</v>
      </c>
      <c r="F33" s="699"/>
      <c r="G33" s="700"/>
      <c r="H33" s="701"/>
      <c r="I33" s="146">
        <f t="shared" si="3"/>
        <v>29</v>
      </c>
      <c r="J33" s="147" t="str">
        <f t="shared" si="4"/>
        <v>to</v>
      </c>
      <c r="K33" s="148" t="s">
        <v>130</v>
      </c>
      <c r="L33" s="149" t="str">
        <f t="shared" si="5"/>
        <v/>
      </c>
      <c r="M33" s="696"/>
      <c r="N33" s="694"/>
      <c r="O33" s="695"/>
      <c r="P33" s="146">
        <f t="shared" si="6"/>
        <v>29</v>
      </c>
      <c r="Q33" s="147" t="str">
        <f t="shared" si="7"/>
        <v>lø</v>
      </c>
      <c r="R33" s="436" t="s">
        <v>62</v>
      </c>
      <c r="S33" s="149" t="str">
        <f t="shared" si="8"/>
        <v/>
      </c>
      <c r="T33" s="699"/>
      <c r="U33" s="700"/>
      <c r="V33" s="701"/>
      <c r="W33" s="146">
        <f t="shared" si="9"/>
        <v>29</v>
      </c>
      <c r="X33" s="147" t="str">
        <f t="shared" si="10"/>
        <v>ti</v>
      </c>
      <c r="Y33" s="436" t="s">
        <v>130</v>
      </c>
      <c r="Z33" s="149" t="str">
        <f t="shared" si="11"/>
        <v/>
      </c>
      <c r="AA33" s="699"/>
      <c r="AB33" s="700"/>
      <c r="AC33" s="701"/>
      <c r="AD33" s="146">
        <f t="shared" si="12"/>
        <v>29</v>
      </c>
      <c r="AE33" s="147" t="str">
        <f t="shared" si="13"/>
        <v>to</v>
      </c>
      <c r="AF33" s="436" t="s">
        <v>130</v>
      </c>
      <c r="AG33" s="149" t="str">
        <f t="shared" si="14"/>
        <v/>
      </c>
      <c r="AH33" s="699"/>
      <c r="AI33" s="700"/>
      <c r="AJ33" s="701"/>
      <c r="AK33" s="146">
        <f t="shared" si="15"/>
        <v>29</v>
      </c>
      <c r="AL33" s="147" t="str">
        <f t="shared" si="16"/>
        <v>sø</v>
      </c>
      <c r="AM33" s="436" t="s">
        <v>62</v>
      </c>
      <c r="AN33" s="149" t="str">
        <f t="shared" si="17"/>
        <v/>
      </c>
      <c r="AO33" s="699"/>
      <c r="AP33" s="700"/>
      <c r="AQ33" s="701"/>
      <c r="AR33" s="545"/>
      <c r="AS33" s="546"/>
      <c r="AT33" s="547"/>
      <c r="AU33" s="548"/>
      <c r="AV33" s="703"/>
      <c r="AW33" s="703"/>
      <c r="AX33" s="704"/>
      <c r="AY33" s="146">
        <f t="shared" si="21"/>
        <v>29</v>
      </c>
      <c r="AZ33" s="147" t="str">
        <f t="shared" si="22"/>
        <v>on</v>
      </c>
      <c r="BA33" s="436" t="s">
        <v>130</v>
      </c>
      <c r="BB33" s="149" t="str">
        <f t="shared" si="23"/>
        <v/>
      </c>
      <c r="BC33" s="699"/>
      <c r="BD33" s="700"/>
      <c r="BE33" s="701"/>
      <c r="BF33" s="146">
        <f t="shared" si="24"/>
        <v>29</v>
      </c>
      <c r="BG33" s="147" t="str">
        <f t="shared" si="25"/>
        <v>lø</v>
      </c>
      <c r="BH33" s="436" t="s">
        <v>62</v>
      </c>
      <c r="BI33" s="149" t="str">
        <f t="shared" si="26"/>
        <v/>
      </c>
      <c r="BJ33" s="699"/>
      <c r="BK33" s="700"/>
      <c r="BL33" s="701"/>
      <c r="BM33" s="146">
        <f t="shared" si="27"/>
        <v>29</v>
      </c>
      <c r="BN33" s="147" t="str">
        <f t="shared" si="28"/>
        <v>ma</v>
      </c>
      <c r="BO33" s="436" t="s">
        <v>57</v>
      </c>
      <c r="BP33" s="149">
        <f t="shared" si="29"/>
        <v>22.142857142857142</v>
      </c>
      <c r="BQ33" s="699" t="s">
        <v>191</v>
      </c>
      <c r="BR33" s="700"/>
      <c r="BS33" s="701"/>
      <c r="BT33" s="146">
        <f t="shared" si="30"/>
        <v>29</v>
      </c>
      <c r="BU33" s="147" t="str">
        <f t="shared" si="31"/>
        <v>to</v>
      </c>
      <c r="BV33" s="436" t="s">
        <v>130</v>
      </c>
      <c r="BW33" s="149" t="str">
        <f t="shared" si="32"/>
        <v/>
      </c>
      <c r="BX33" s="702"/>
      <c r="BY33" s="700"/>
      <c r="BZ33" s="701"/>
      <c r="CA33" s="146">
        <f t="shared" si="33"/>
        <v>29</v>
      </c>
      <c r="CB33" s="147" t="str">
        <f t="shared" si="34"/>
        <v>lø</v>
      </c>
      <c r="CC33" s="436" t="s">
        <v>62</v>
      </c>
      <c r="CD33" s="149" t="str">
        <f t="shared" si="35"/>
        <v/>
      </c>
      <c r="CE33" s="699"/>
      <c r="CF33" s="700"/>
      <c r="CG33" s="701"/>
      <c r="CH33" s="150"/>
      <c r="CI33" s="279" t="str">
        <f t="shared" si="40"/>
        <v>Nul-dag</v>
      </c>
      <c r="CJ33" s="293">
        <f t="shared" si="41"/>
        <v>0</v>
      </c>
      <c r="CK33" s="152"/>
      <c r="CL33" s="152"/>
    </row>
    <row r="34" spans="1:90" ht="18" customHeight="1">
      <c r="A34" s="605" t="str">
        <f t="shared" si="42"/>
        <v>Ekskursion</v>
      </c>
      <c r="B34" s="146">
        <f t="shared" si="0"/>
        <v>30</v>
      </c>
      <c r="C34" s="147" t="str">
        <f t="shared" si="1"/>
        <v>ti</v>
      </c>
      <c r="D34" s="436" t="s">
        <v>130</v>
      </c>
      <c r="E34" s="149" t="str">
        <f t="shared" si="2"/>
        <v/>
      </c>
      <c r="F34" s="705"/>
      <c r="G34" s="706"/>
      <c r="H34" s="707"/>
      <c r="I34" s="146">
        <f>IF(ISNUMBER(I33),I33+1,1)</f>
        <v>30</v>
      </c>
      <c r="J34" s="147" t="str">
        <f t="shared" si="4"/>
        <v>fr</v>
      </c>
      <c r="K34" s="436" t="s">
        <v>130</v>
      </c>
      <c r="L34" s="149" t="str">
        <f t="shared" si="5"/>
        <v/>
      </c>
      <c r="M34" s="696"/>
      <c r="N34" s="694"/>
      <c r="O34" s="695"/>
      <c r="P34" s="146">
        <f t="shared" si="6"/>
        <v>30</v>
      </c>
      <c r="Q34" s="147" t="str">
        <f t="shared" si="7"/>
        <v>sø</v>
      </c>
      <c r="R34" s="436" t="s">
        <v>62</v>
      </c>
      <c r="S34" s="149" t="str">
        <f t="shared" si="8"/>
        <v/>
      </c>
      <c r="T34" s="699"/>
      <c r="U34" s="700"/>
      <c r="V34" s="701"/>
      <c r="W34" s="146">
        <f t="shared" si="9"/>
        <v>30</v>
      </c>
      <c r="X34" s="147" t="str">
        <f t="shared" si="10"/>
        <v>on</v>
      </c>
      <c r="Y34" s="436" t="s">
        <v>130</v>
      </c>
      <c r="Z34" s="149" t="str">
        <f t="shared" si="11"/>
        <v/>
      </c>
      <c r="AA34" s="696"/>
      <c r="AB34" s="694"/>
      <c r="AC34" s="695"/>
      <c r="AD34" s="146">
        <f t="shared" si="12"/>
        <v>30</v>
      </c>
      <c r="AE34" s="147" t="str">
        <f t="shared" si="13"/>
        <v>fr</v>
      </c>
      <c r="AF34" s="436" t="s">
        <v>130</v>
      </c>
      <c r="AG34" s="149" t="str">
        <f t="shared" si="14"/>
        <v/>
      </c>
      <c r="AH34" s="699"/>
      <c r="AI34" s="700"/>
      <c r="AJ34" s="701"/>
      <c r="AK34" s="146">
        <f t="shared" si="15"/>
        <v>30</v>
      </c>
      <c r="AL34" s="147" t="str">
        <f t="shared" si="16"/>
        <v>ma</v>
      </c>
      <c r="AM34" s="436" t="s">
        <v>130</v>
      </c>
      <c r="AN34" s="149">
        <f t="shared" si="17"/>
        <v>5.1428571428571432</v>
      </c>
      <c r="AO34" s="699"/>
      <c r="AP34" s="700"/>
      <c r="AQ34" s="701"/>
      <c r="AR34" s="264"/>
      <c r="AS34" s="264"/>
      <c r="AT34" s="265"/>
      <c r="AU34" s="266"/>
      <c r="AV34" s="698"/>
      <c r="AW34" s="698"/>
      <c r="AX34" s="698"/>
      <c r="AY34" s="146">
        <f t="shared" si="21"/>
        <v>30</v>
      </c>
      <c r="AZ34" s="147" t="str">
        <f t="shared" si="22"/>
        <v>to</v>
      </c>
      <c r="BA34" s="436" t="s">
        <v>130</v>
      </c>
      <c r="BB34" s="149" t="str">
        <f t="shared" si="23"/>
        <v/>
      </c>
      <c r="BC34" s="699"/>
      <c r="BD34" s="700"/>
      <c r="BE34" s="701"/>
      <c r="BF34" s="146">
        <f t="shared" si="24"/>
        <v>30</v>
      </c>
      <c r="BG34" s="147" t="str">
        <f t="shared" si="25"/>
        <v>sø</v>
      </c>
      <c r="BH34" s="436" t="s">
        <v>62</v>
      </c>
      <c r="BI34" s="149" t="str">
        <f t="shared" si="26"/>
        <v/>
      </c>
      <c r="BJ34" s="696"/>
      <c r="BK34" s="694"/>
      <c r="BL34" s="695"/>
      <c r="BM34" s="146">
        <f t="shared" si="27"/>
        <v>30</v>
      </c>
      <c r="BN34" s="147" t="str">
        <f t="shared" si="28"/>
        <v>ti</v>
      </c>
      <c r="BO34" s="436" t="s">
        <v>130</v>
      </c>
      <c r="BP34" s="149" t="str">
        <f t="shared" si="29"/>
        <v/>
      </c>
      <c r="BQ34" s="699"/>
      <c r="BR34" s="700"/>
      <c r="BS34" s="701"/>
      <c r="BT34" s="146">
        <f t="shared" si="30"/>
        <v>30</v>
      </c>
      <c r="BU34" s="147" t="str">
        <f t="shared" si="31"/>
        <v>fr</v>
      </c>
      <c r="BV34" s="436" t="s">
        <v>130</v>
      </c>
      <c r="BW34" s="149" t="str">
        <f t="shared" si="32"/>
        <v/>
      </c>
      <c r="BX34" s="693"/>
      <c r="BY34" s="694"/>
      <c r="BZ34" s="695"/>
      <c r="CA34" s="146">
        <f t="shared" si="33"/>
        <v>30</v>
      </c>
      <c r="CB34" s="147" t="str">
        <f t="shared" si="34"/>
        <v>sø</v>
      </c>
      <c r="CC34" s="436" t="s">
        <v>62</v>
      </c>
      <c r="CD34" s="149" t="str">
        <f t="shared" si="35"/>
        <v/>
      </c>
      <c r="CE34" s="699"/>
      <c r="CF34" s="700"/>
      <c r="CG34" s="701"/>
      <c r="CH34" s="150"/>
      <c r="CI34" s="591" t="str">
        <f t="shared" si="40"/>
        <v>Ikke relevant</v>
      </c>
      <c r="CJ34" s="592">
        <f>CD54+BW54+BP54+BI54+BB54+AU54+AN54+AG54+Z54+S54+L54+E54</f>
        <v>0</v>
      </c>
      <c r="CK34" s="152"/>
      <c r="CL34" s="152"/>
    </row>
    <row r="35" spans="1:90" ht="18" customHeight="1" thickBot="1">
      <c r="A35" s="606" t="str">
        <f t="shared" si="42"/>
        <v>Pæd.dag</v>
      </c>
      <c r="B35" s="146">
        <f>IF(ISNUMBER(B34),B34+1,1)</f>
        <v>31</v>
      </c>
      <c r="C35" s="147" t="str">
        <f>CHOOSE(MOD(WEEKDAY(DATE(B$3,B$2,B35)),7)+1,"lø","sø","ma","ti","on","to","fr",)</f>
        <v>on</v>
      </c>
      <c r="D35" s="436" t="s">
        <v>130</v>
      </c>
      <c r="E35" s="267" t="str">
        <f>IF(C35="ma",(DATE(B$3,B$2,B35)-DATE(B$3,1,1)+7)/7,"")</f>
        <v/>
      </c>
      <c r="F35" s="696"/>
      <c r="G35" s="694"/>
      <c r="H35" s="695"/>
      <c r="I35" s="264"/>
      <c r="J35" s="264"/>
      <c r="K35" s="265"/>
      <c r="L35" s="266"/>
      <c r="M35" s="698"/>
      <c r="N35" s="698"/>
      <c r="O35" s="698"/>
      <c r="P35" s="146">
        <f>IF(ISNUMBER(P34),P34+1,1)</f>
        <v>31</v>
      </c>
      <c r="Q35" s="147" t="str">
        <f>CHOOSE(MOD(WEEKDAY(DATE(P$3,P$2,P35)),7)+1,"lø","sø","ma","ti","on","to","fr",)</f>
        <v>ma</v>
      </c>
      <c r="R35" s="436" t="s">
        <v>130</v>
      </c>
      <c r="S35" s="149">
        <f>IF(Q35="ma",(DATE(P$3,P$2,P35)-DATE(P$3,1,1)+7)/7,"")</f>
        <v>44.285714285714285</v>
      </c>
      <c r="T35" s="696"/>
      <c r="U35" s="694"/>
      <c r="V35" s="695"/>
      <c r="W35" s="264"/>
      <c r="X35" s="264"/>
      <c r="Y35" s="265"/>
      <c r="Z35" s="266"/>
      <c r="AA35" s="698"/>
      <c r="AB35" s="698"/>
      <c r="AC35" s="698"/>
      <c r="AD35" s="146">
        <f>IF(ISNUMBER(AD34),AD34+1,1)</f>
        <v>31</v>
      </c>
      <c r="AE35" s="147" t="str">
        <f>CHOOSE(MOD(WEEKDAY(DATE(AD$3,AD$2,AD35)),7)+1,"lø","sø","ma","ti","on","to","fr",)</f>
        <v>lø</v>
      </c>
      <c r="AF35" s="436" t="s">
        <v>62</v>
      </c>
      <c r="AG35" s="149" t="str">
        <f>IF(AE35="ma",(DATE(AD$3,AD$2,AD35)-DATE(AD$3,1,1)+7)/7,"")</f>
        <v/>
      </c>
      <c r="AH35" s="696" t="s">
        <v>68</v>
      </c>
      <c r="AI35" s="694"/>
      <c r="AJ35" s="695"/>
      <c r="AK35" s="146">
        <f>IF(ISNUMBER(AK34),AK34+1,1)</f>
        <v>31</v>
      </c>
      <c r="AL35" s="147" t="str">
        <f>CHOOSE(MOD(WEEKDAY(DATE(AK$3,AK$2,AK35)),7)+1,"lø","sø","ma","ti","on","to","fr",)</f>
        <v>ti</v>
      </c>
      <c r="AM35" s="436" t="s">
        <v>130</v>
      </c>
      <c r="AN35" s="149" t="str">
        <f>IF(AL35="ma",(DATE(AK$3,AK$2,AK35)-DATE(AK$3,1,1)+7)/7,"")</f>
        <v/>
      </c>
      <c r="AO35" s="696"/>
      <c r="AP35" s="694"/>
      <c r="AQ35" s="695"/>
      <c r="AR35" s="264"/>
      <c r="AS35" s="264"/>
      <c r="AT35" s="265"/>
      <c r="AU35" s="266"/>
      <c r="AV35" s="698"/>
      <c r="AW35" s="698"/>
      <c r="AX35" s="698"/>
      <c r="AY35" s="146">
        <f>IF(ISNUMBER(AY34),AY34+1,1)</f>
        <v>31</v>
      </c>
      <c r="AZ35" s="147" t="str">
        <f>CHOOSE(MOD(WEEKDAY(DATE(AY$3,AY$2,AY35)),7)+1,"lø","sø","ma","ti","on","to","fr",)</f>
        <v>fr</v>
      </c>
      <c r="BA35" s="436" t="s">
        <v>130</v>
      </c>
      <c r="BB35" s="149" t="str">
        <f>IF(AZ35="ma",(DATE(AY$3,AY$2,AY35)-DATE(AY$3,1,1)+7)/7,"")</f>
        <v/>
      </c>
      <c r="BC35" s="693"/>
      <c r="BD35" s="694"/>
      <c r="BE35" s="695"/>
      <c r="BF35" s="264"/>
      <c r="BG35" s="264"/>
      <c r="BH35" s="265"/>
      <c r="BI35" s="266"/>
      <c r="BJ35" s="698"/>
      <c r="BK35" s="698"/>
      <c r="BL35" s="698"/>
      <c r="BM35" s="146">
        <f>IF(ISNUMBER(BM34),BM34+1,1)</f>
        <v>31</v>
      </c>
      <c r="BN35" s="147" t="str">
        <f>CHOOSE(MOD(WEEKDAY(DATE(BM$3,BM$2,BM35)),7)+1,"lø","sø","ma","ti","on","to","fr",)</f>
        <v>on</v>
      </c>
      <c r="BO35" s="436" t="s">
        <v>130</v>
      </c>
      <c r="BP35" s="149" t="str">
        <f>IF(BN35="ma",(DATE(BM$3,BM$2,BM35)-DATE(BM$3,1,1)+7)/7,"")</f>
        <v/>
      </c>
      <c r="BQ35" s="693"/>
      <c r="BR35" s="694"/>
      <c r="BS35" s="695"/>
      <c r="BT35" s="264"/>
      <c r="BU35" s="264"/>
      <c r="BV35" s="265"/>
      <c r="BW35" s="266"/>
      <c r="BX35" s="698"/>
      <c r="BY35" s="698"/>
      <c r="BZ35" s="698"/>
      <c r="CA35" s="146">
        <f>IF(ISNUMBER(CA34),CA34+1,1)</f>
        <v>31</v>
      </c>
      <c r="CB35" s="147" t="str">
        <f>CHOOSE(MOD(WEEKDAY(DATE(CA$3,CA$2,CA35)),7)+1,"lø","sø","ma","ti","on","to","fr",)</f>
        <v>ma</v>
      </c>
      <c r="CC35" s="436" t="s">
        <v>130</v>
      </c>
      <c r="CD35" s="149">
        <f>IF(CB35="ma",(DATE(CA$3,CA$2,CA35)-DATE(CA$3,1,1)+7)/7,"")</f>
        <v>31.142857142857142</v>
      </c>
      <c r="CE35" s="696"/>
      <c r="CF35" s="694"/>
      <c r="CG35" s="695"/>
      <c r="CH35" s="150"/>
      <c r="CI35" s="156" t="s">
        <v>69</v>
      </c>
      <c r="CJ35" s="157">
        <f>SUM(CJ17:CJ33)</f>
        <v>365</v>
      </c>
      <c r="CK35" s="152"/>
      <c r="CL35" s="152"/>
    </row>
    <row r="36" spans="1:90" s="113" customFormat="1" ht="13" customHeight="1" thickTop="1">
      <c r="A36" s="607" t="str">
        <f t="shared" si="42"/>
        <v>Weekend</v>
      </c>
      <c r="B36" s="158"/>
      <c r="C36" s="159"/>
      <c r="D36" s="158"/>
      <c r="E36" s="158"/>
      <c r="F36" s="116"/>
      <c r="G36" s="116"/>
      <c r="H36" s="116"/>
      <c r="I36" s="116"/>
      <c r="J36" s="160"/>
      <c r="K36" s="116"/>
      <c r="L36" s="116"/>
      <c r="M36" s="116"/>
      <c r="N36" s="116"/>
      <c r="O36" s="116"/>
      <c r="P36" s="158"/>
      <c r="Q36" s="159"/>
      <c r="R36" s="158"/>
      <c r="S36" s="158"/>
      <c r="T36" s="116"/>
      <c r="U36" s="116"/>
      <c r="V36" s="116"/>
      <c r="W36" s="116"/>
      <c r="X36" s="160"/>
      <c r="Y36" s="116"/>
      <c r="Z36" s="116"/>
      <c r="AA36" s="116"/>
      <c r="AB36" s="116"/>
      <c r="AC36" s="116"/>
      <c r="AD36" s="158"/>
      <c r="AE36" s="159"/>
      <c r="AF36" s="158"/>
      <c r="AG36" s="158"/>
      <c r="AH36" s="158"/>
      <c r="AI36" s="158"/>
      <c r="AJ36" s="158"/>
      <c r="AK36" s="158"/>
      <c r="AL36" s="159"/>
      <c r="AM36" s="158"/>
      <c r="AN36" s="158"/>
      <c r="AO36" s="158"/>
      <c r="AP36" s="116"/>
      <c r="AQ36" s="116"/>
      <c r="AR36" s="116"/>
      <c r="AS36" s="160"/>
      <c r="AT36" s="116"/>
      <c r="AU36" s="116"/>
      <c r="AV36" s="116"/>
      <c r="AW36" s="116"/>
      <c r="AX36" s="116"/>
      <c r="AY36" s="158"/>
      <c r="AZ36" s="159"/>
      <c r="BA36" s="158"/>
      <c r="BB36" s="158"/>
      <c r="BC36" s="116"/>
      <c r="BD36" s="116"/>
      <c r="BE36" s="116"/>
      <c r="BF36" s="116"/>
      <c r="BG36" s="160"/>
      <c r="BH36" s="116"/>
      <c r="BI36" s="116"/>
      <c r="BJ36" s="116"/>
      <c r="BK36" s="116"/>
      <c r="BL36" s="116"/>
      <c r="BM36" s="158"/>
      <c r="BN36" s="159"/>
      <c r="BO36" s="158"/>
      <c r="BP36" s="158"/>
      <c r="BQ36" s="116"/>
      <c r="BR36" s="116"/>
      <c r="BS36" s="116"/>
      <c r="BT36" s="116"/>
      <c r="BU36" s="160"/>
      <c r="BV36" s="116"/>
      <c r="BW36" s="116"/>
      <c r="BX36" s="116"/>
      <c r="BY36" s="116"/>
      <c r="BZ36" s="116"/>
      <c r="CA36" s="158"/>
      <c r="CB36" s="159"/>
      <c r="CC36" s="158"/>
      <c r="CD36" s="158"/>
      <c r="CE36" s="116"/>
      <c r="CF36" s="116"/>
      <c r="CG36" s="116"/>
      <c r="CH36" s="161"/>
      <c r="CI36" s="116"/>
      <c r="CJ36" s="280"/>
    </row>
    <row r="37" spans="1:90" s="113" customFormat="1" ht="13" customHeight="1">
      <c r="A37" s="608" t="str">
        <f t="shared" si="42"/>
        <v>SH-dag</v>
      </c>
      <c r="B37" s="164" t="str">
        <f>$A$23</f>
        <v>Normal uge 1</v>
      </c>
      <c r="C37" s="165"/>
      <c r="D37" s="165"/>
      <c r="E37" s="163">
        <f>COUNTIF(august,"Normal uge 1")</f>
        <v>23</v>
      </c>
      <c r="F37" s="162" t="s">
        <v>70</v>
      </c>
      <c r="G37" s="497" t="s">
        <v>158</v>
      </c>
      <c r="H37" s="163">
        <f>COUNTIFS($C$5:$C$35,"ma",august,"Normal uge 1")</f>
        <v>5</v>
      </c>
      <c r="I37" s="164" t="str">
        <f>$A$23</f>
        <v>Normal uge 1</v>
      </c>
      <c r="J37" s="165"/>
      <c r="K37" s="165"/>
      <c r="L37" s="163">
        <f>COUNTIF(september,"Normal uge 1")</f>
        <v>22</v>
      </c>
      <c r="M37" s="162" t="s">
        <v>70</v>
      </c>
      <c r="N37" s="497" t="s">
        <v>158</v>
      </c>
      <c r="O37" s="163">
        <f>COUNTIFS($J$5:$J$34,"ma",september,"Normal uge 1")</f>
        <v>4</v>
      </c>
      <c r="P37" s="164" t="str">
        <f>$A$23</f>
        <v>Normal uge 1</v>
      </c>
      <c r="Q37" s="165"/>
      <c r="R37" s="165"/>
      <c r="S37" s="163">
        <f>COUNTIF(oktober,"Normal uge 1")</f>
        <v>21</v>
      </c>
      <c r="T37" s="162" t="s">
        <v>70</v>
      </c>
      <c r="U37" s="497" t="s">
        <v>158</v>
      </c>
      <c r="V37" s="163">
        <f>COUNTIFS($Q$5:$Q$35,"ma",oktober,"Normal uge 1")</f>
        <v>5</v>
      </c>
      <c r="W37" s="164" t="str">
        <f>$A$23</f>
        <v>Normal uge 1</v>
      </c>
      <c r="X37" s="165"/>
      <c r="Y37" s="165"/>
      <c r="Z37" s="163">
        <f>COUNTIF(november,"Normal uge 1")</f>
        <v>22</v>
      </c>
      <c r="AA37" s="162" t="s">
        <v>70</v>
      </c>
      <c r="AB37" s="497" t="s">
        <v>158</v>
      </c>
      <c r="AC37" s="163">
        <f>COUNTIFS($X$5:$X$34,"ma",november,"Normal uge 1")</f>
        <v>4</v>
      </c>
      <c r="AD37" s="164" t="str">
        <f>$A$23</f>
        <v>Normal uge 1</v>
      </c>
      <c r="AE37" s="165"/>
      <c r="AF37" s="165"/>
      <c r="AG37" s="163">
        <f>COUNTIF(december,"Normal uge 1")</f>
        <v>21</v>
      </c>
      <c r="AH37" s="162" t="s">
        <v>70</v>
      </c>
      <c r="AI37" s="497" t="s">
        <v>158</v>
      </c>
      <c r="AJ37" s="163">
        <f>COUNTIFS($AE$5:$AE$35,"ma",december,"Normal uge 1")</f>
        <v>3</v>
      </c>
      <c r="AK37" s="164" t="str">
        <f>$A$23</f>
        <v>Normal uge 1</v>
      </c>
      <c r="AL37" s="165"/>
      <c r="AM37" s="165"/>
      <c r="AN37" s="163">
        <f>COUNTIF(januar,"Normal uge 1")</f>
        <v>22</v>
      </c>
      <c r="AO37" s="162" t="s">
        <v>70</v>
      </c>
      <c r="AP37" s="497" t="s">
        <v>158</v>
      </c>
      <c r="AQ37" s="163">
        <f>COUNTIFS($AL$5:$AL$35,"ma",januar,"Normal uge 1")</f>
        <v>5</v>
      </c>
      <c r="AR37" s="164" t="str">
        <f>$A$23</f>
        <v>Normal uge 1</v>
      </c>
      <c r="AS37" s="165"/>
      <c r="AT37" s="165"/>
      <c r="AU37" s="163">
        <f>COUNTIF(februar,"Normal uge 1")</f>
        <v>20</v>
      </c>
      <c r="AV37" s="162" t="s">
        <v>70</v>
      </c>
      <c r="AW37" s="497" t="s">
        <v>158</v>
      </c>
      <c r="AX37" s="163">
        <f>COUNTIFS($AS$5:$AS$33,"ma",februar,"Normal uge 1")</f>
        <v>4</v>
      </c>
      <c r="AY37" s="164" t="str">
        <f>$A$23</f>
        <v>Normal uge 1</v>
      </c>
      <c r="AZ37" s="165"/>
      <c r="BA37" s="165"/>
      <c r="BB37" s="163">
        <f>COUNTIF(marts,"Normal uge 1")</f>
        <v>23</v>
      </c>
      <c r="BC37" s="162" t="s">
        <v>70</v>
      </c>
      <c r="BD37" s="497" t="s">
        <v>158</v>
      </c>
      <c r="BE37" s="163">
        <f>COUNTIFS($AZ$5:$AZ$35,"ma",marts,"Normal uge 1")</f>
        <v>4</v>
      </c>
      <c r="BF37" s="164" t="str">
        <f>$A$23</f>
        <v>Normal uge 1</v>
      </c>
      <c r="BG37" s="165"/>
      <c r="BH37" s="165"/>
      <c r="BI37" s="163">
        <f>COUNTIF(april,"Normal uge 1")</f>
        <v>17</v>
      </c>
      <c r="BJ37" s="162" t="s">
        <v>70</v>
      </c>
      <c r="BK37" s="497" t="s">
        <v>158</v>
      </c>
      <c r="BL37" s="163">
        <f>COUNTIFS($BG$5:$BG$34,"ma",april,"Normal uge 1")</f>
        <v>3</v>
      </c>
      <c r="BM37" s="164" t="str">
        <f>$A$23</f>
        <v>Normal uge 1</v>
      </c>
      <c r="BN37" s="165"/>
      <c r="BO37" s="165"/>
      <c r="BP37" s="163">
        <f>COUNTIF(maj,"Normal uge 1")</f>
        <v>20</v>
      </c>
      <c r="BQ37" s="162" t="s">
        <v>70</v>
      </c>
      <c r="BR37" s="497" t="s">
        <v>158</v>
      </c>
      <c r="BS37" s="163">
        <f>COUNTIFS($BN$5:$BN$35,"ma",maj,"Normal uge 1")</f>
        <v>4</v>
      </c>
      <c r="BT37" s="164" t="str">
        <f>$A$23</f>
        <v>Normal uge 1</v>
      </c>
      <c r="BU37" s="165"/>
      <c r="BV37" s="165"/>
      <c r="BW37" s="163">
        <f>COUNTIF(juni,"Normal uge 1")</f>
        <v>22</v>
      </c>
      <c r="BX37" s="162" t="s">
        <v>70</v>
      </c>
      <c r="BY37" s="497" t="s">
        <v>158</v>
      </c>
      <c r="BZ37" s="163">
        <f>COUNTIFS($BU$5:$BU$34,"ma",juni,"Normal uge 1")</f>
        <v>4</v>
      </c>
      <c r="CA37" s="164" t="str">
        <f>$A$23</f>
        <v>Normal uge 1</v>
      </c>
      <c r="CB37" s="165"/>
      <c r="CC37" s="165"/>
      <c r="CD37" s="163">
        <f>COUNTIF(juli,"Normal uge 1")</f>
        <v>21</v>
      </c>
      <c r="CE37" s="162" t="s">
        <v>70</v>
      </c>
      <c r="CF37" s="497" t="s">
        <v>158</v>
      </c>
      <c r="CG37" s="163">
        <f>COUNTIFS($CB$5:$CB$35,"ma",juli,"Normal uge 1")</f>
        <v>5</v>
      </c>
      <c r="CH37" s="161"/>
      <c r="CI37" s="173" t="str">
        <f>CF37</f>
        <v>Norm. 1 Mandag</v>
      </c>
      <c r="CJ37" s="393">
        <f>CG37+BZ37+BS37+BL37+BE37+AX37+AQ37+AJ37+AC37+V37+O37+H37</f>
        <v>50</v>
      </c>
    </row>
    <row r="38" spans="1:90" s="113" customFormat="1" ht="13" customHeight="1">
      <c r="A38" s="609" t="str">
        <f t="shared" si="42"/>
        <v>Feriedag</v>
      </c>
      <c r="B38" s="166" t="str">
        <f>$A$24</f>
        <v>Normal uge 2</v>
      </c>
      <c r="C38" s="167"/>
      <c r="D38" s="167"/>
      <c r="E38" s="168">
        <f>COUNTIF(august,"Normal uge 2")</f>
        <v>0</v>
      </c>
      <c r="F38" s="162" t="s">
        <v>70</v>
      </c>
      <c r="G38" s="498" t="s">
        <v>160</v>
      </c>
      <c r="H38" s="168">
        <f>COUNTIFS($C$5:$C$35,"ti",august,"Normal uge 1")</f>
        <v>5</v>
      </c>
      <c r="I38" s="166" t="str">
        <f>$A$24</f>
        <v>Normal uge 2</v>
      </c>
      <c r="J38" s="167"/>
      <c r="K38" s="167"/>
      <c r="L38" s="168">
        <f>COUNTIF(september,"Normal uge 2")</f>
        <v>0</v>
      </c>
      <c r="M38" s="162" t="s">
        <v>70</v>
      </c>
      <c r="N38" s="498" t="s">
        <v>160</v>
      </c>
      <c r="O38" s="168">
        <f>COUNTIFS($J$5:$J$34,"ti",september,"Normal uge 1")</f>
        <v>4</v>
      </c>
      <c r="P38" s="166" t="str">
        <f>$A$24</f>
        <v>Normal uge 2</v>
      </c>
      <c r="Q38" s="167"/>
      <c r="R38" s="167"/>
      <c r="S38" s="168">
        <f>COUNTIF(oktober,"Normal uge 2")</f>
        <v>0</v>
      </c>
      <c r="T38" s="162" t="s">
        <v>70</v>
      </c>
      <c r="U38" s="498" t="s">
        <v>160</v>
      </c>
      <c r="V38" s="168">
        <f>COUNTIFS($Q$5:$Q$35,"ti",oktober,"Normal uge 1")</f>
        <v>4</v>
      </c>
      <c r="W38" s="166" t="str">
        <f>$A$24</f>
        <v>Normal uge 2</v>
      </c>
      <c r="X38" s="167"/>
      <c r="Y38" s="167"/>
      <c r="Z38" s="168">
        <f>COUNTIF(november,"Normal uge 2")</f>
        <v>0</v>
      </c>
      <c r="AA38" s="162" t="s">
        <v>70</v>
      </c>
      <c r="AB38" s="498" t="s">
        <v>160</v>
      </c>
      <c r="AC38" s="168">
        <f>COUNTIFS($X$5:$X$34,"ti",november,"Normal uge 1")</f>
        <v>5</v>
      </c>
      <c r="AD38" s="166" t="str">
        <f>$A$24</f>
        <v>Normal uge 2</v>
      </c>
      <c r="AE38" s="167"/>
      <c r="AF38" s="167"/>
      <c r="AG38" s="168">
        <f>COUNTIF(december,"Normal uge 2")</f>
        <v>0</v>
      </c>
      <c r="AH38" s="162" t="s">
        <v>70</v>
      </c>
      <c r="AI38" s="498" t="s">
        <v>160</v>
      </c>
      <c r="AJ38" s="168">
        <f>COUNTIFS($AE$5:$AE$35,"ti",december,"Normal uge 1")</f>
        <v>4</v>
      </c>
      <c r="AK38" s="166" t="str">
        <f>$A$24</f>
        <v>Normal uge 2</v>
      </c>
      <c r="AL38" s="167"/>
      <c r="AM38" s="167"/>
      <c r="AN38" s="168">
        <f>COUNTIF(januar,"Normal uge 2")</f>
        <v>0</v>
      </c>
      <c r="AO38" s="162" t="s">
        <v>70</v>
      </c>
      <c r="AP38" s="498" t="s">
        <v>160</v>
      </c>
      <c r="AQ38" s="168">
        <f>COUNTIFS($AL$5:$AL$35,"ti",januar,"Normal uge 1")</f>
        <v>5</v>
      </c>
      <c r="AR38" s="166" t="str">
        <f>$A$24</f>
        <v>Normal uge 2</v>
      </c>
      <c r="AS38" s="167"/>
      <c r="AT38" s="167"/>
      <c r="AU38" s="168">
        <f>COUNTIF(februar,"Normal uge 2")</f>
        <v>0</v>
      </c>
      <c r="AV38" s="162" t="s">
        <v>70</v>
      </c>
      <c r="AW38" s="498" t="s">
        <v>160</v>
      </c>
      <c r="AX38" s="168">
        <f>COUNTIFS($AS$5:$AS$33,"ti",februar,"Normal uge 1")</f>
        <v>4</v>
      </c>
      <c r="AY38" s="166" t="str">
        <f>$A$24</f>
        <v>Normal uge 2</v>
      </c>
      <c r="AZ38" s="167"/>
      <c r="BA38" s="167"/>
      <c r="BB38" s="168">
        <f>COUNTIF(marts,"Normal uge 2")</f>
        <v>0</v>
      </c>
      <c r="BC38" s="162" t="s">
        <v>70</v>
      </c>
      <c r="BD38" s="498" t="s">
        <v>160</v>
      </c>
      <c r="BE38" s="168">
        <f>COUNTIFS($AZ$5:$AZ$35,"ti",marts,"Normal uge 1")</f>
        <v>4</v>
      </c>
      <c r="BF38" s="166" t="str">
        <f>$A$24</f>
        <v>Normal uge 2</v>
      </c>
      <c r="BG38" s="167"/>
      <c r="BH38" s="167"/>
      <c r="BI38" s="168">
        <f>COUNTIF(april,"Normal uge 2")</f>
        <v>0</v>
      </c>
      <c r="BJ38" s="162" t="s">
        <v>70</v>
      </c>
      <c r="BK38" s="498" t="s">
        <v>160</v>
      </c>
      <c r="BL38" s="168">
        <f>COUNTIFS($BG$5:$BG$34,"ti",april,"Normal uge 1")</f>
        <v>4</v>
      </c>
      <c r="BM38" s="166" t="str">
        <f>$A$24</f>
        <v>Normal uge 2</v>
      </c>
      <c r="BN38" s="167"/>
      <c r="BO38" s="167"/>
      <c r="BP38" s="168">
        <f>COUNTIF(maj,"Normal uge 2")</f>
        <v>0</v>
      </c>
      <c r="BQ38" s="162" t="s">
        <v>70</v>
      </c>
      <c r="BR38" s="498" t="s">
        <v>160</v>
      </c>
      <c r="BS38" s="168">
        <f>COUNTIFS($BN$5:$BN$35,"ti",maj,"Normal uge 1")</f>
        <v>5</v>
      </c>
      <c r="BT38" s="166" t="str">
        <f>$A$24</f>
        <v>Normal uge 2</v>
      </c>
      <c r="BU38" s="167"/>
      <c r="BV38" s="167"/>
      <c r="BW38" s="168">
        <f>COUNTIF(juni,"Normal uge 2")</f>
        <v>0</v>
      </c>
      <c r="BX38" s="162" t="s">
        <v>70</v>
      </c>
      <c r="BY38" s="498" t="s">
        <v>160</v>
      </c>
      <c r="BZ38" s="168">
        <f>COUNTIFS($BU$5:$BU$34,"ti",juni,"Normal uge 1")</f>
        <v>4</v>
      </c>
      <c r="CA38" s="166" t="str">
        <f>$A$24</f>
        <v>Normal uge 2</v>
      </c>
      <c r="CB38" s="167"/>
      <c r="CC38" s="167"/>
      <c r="CD38" s="168">
        <f>COUNTIF(juli,"Normal uge 2")</f>
        <v>0</v>
      </c>
      <c r="CE38" s="162" t="s">
        <v>70</v>
      </c>
      <c r="CF38" s="498" t="s">
        <v>160</v>
      </c>
      <c r="CG38" s="168">
        <f>COUNTIFS($CB$5:$CB$35,"ti",juli,"Normal uge 1")</f>
        <v>4</v>
      </c>
      <c r="CH38" s="161"/>
      <c r="CI38" s="173" t="str">
        <f>CF38</f>
        <v>Norm. 1 Tirsdag</v>
      </c>
      <c r="CJ38" s="393">
        <f>CG38+BZ38+BS38+BL38+BE38+AX38+AQ38+AJ38+AC38+V38+O38+H38</f>
        <v>52</v>
      </c>
    </row>
    <row r="39" spans="1:90" s="113" customFormat="1">
      <c r="A39" s="610" t="str">
        <f t="shared" si="42"/>
        <v>Nul-dag</v>
      </c>
      <c r="B39" s="166" t="str">
        <f>$A$25</f>
        <v>Særlig uge 1</v>
      </c>
      <c r="C39" s="167"/>
      <c r="D39" s="167"/>
      <c r="E39" s="168">
        <f>COUNTIF(august,"Særlig uge 1")</f>
        <v>0</v>
      </c>
      <c r="F39" s="162" t="s">
        <v>70</v>
      </c>
      <c r="G39" s="498" t="s">
        <v>161</v>
      </c>
      <c r="H39" s="168">
        <f>COUNTIFS($C$5:$C$35,"on",august,"Normal uge 1")</f>
        <v>5</v>
      </c>
      <c r="I39" s="166" t="str">
        <f>$A$25</f>
        <v>Særlig uge 1</v>
      </c>
      <c r="J39" s="167"/>
      <c r="K39" s="167"/>
      <c r="L39" s="168">
        <f>COUNTIF(september,"Særlig uge 1")</f>
        <v>0</v>
      </c>
      <c r="M39" s="162" t="s">
        <v>70</v>
      </c>
      <c r="N39" s="498" t="s">
        <v>161</v>
      </c>
      <c r="O39" s="168">
        <f>COUNTIFS($J$5:$J$34,"on",september,"Normal uge 1")</f>
        <v>4</v>
      </c>
      <c r="P39" s="166" t="str">
        <f>$A$25</f>
        <v>Særlig uge 1</v>
      </c>
      <c r="Q39" s="167"/>
      <c r="R39" s="167"/>
      <c r="S39" s="168">
        <f>COUNTIF(oktober,"Særlig uge 1")</f>
        <v>0</v>
      </c>
      <c r="T39" s="162" t="s">
        <v>70</v>
      </c>
      <c r="U39" s="498" t="s">
        <v>161</v>
      </c>
      <c r="V39" s="168">
        <f>COUNTIFS($Q$5:$Q$35,"on",oktober,"Normal uge 1")</f>
        <v>4</v>
      </c>
      <c r="W39" s="166" t="str">
        <f>$A$25</f>
        <v>Særlig uge 1</v>
      </c>
      <c r="X39" s="167"/>
      <c r="Y39" s="167"/>
      <c r="Z39" s="168">
        <f>COUNTIF(november,"Særlig uge 1")</f>
        <v>0</v>
      </c>
      <c r="AA39" s="162" t="s">
        <v>70</v>
      </c>
      <c r="AB39" s="498" t="s">
        <v>161</v>
      </c>
      <c r="AC39" s="168">
        <f>COUNTIFS($X$5:$X$34,"on",november,"Normal uge 1")</f>
        <v>5</v>
      </c>
      <c r="AD39" s="166" t="str">
        <f>$A$25</f>
        <v>Særlig uge 1</v>
      </c>
      <c r="AE39" s="167"/>
      <c r="AF39" s="167"/>
      <c r="AG39" s="168">
        <f>COUNTIF(december,"Særlig uge 1")</f>
        <v>0</v>
      </c>
      <c r="AH39" s="162" t="s">
        <v>70</v>
      </c>
      <c r="AI39" s="498" t="s">
        <v>161</v>
      </c>
      <c r="AJ39" s="168">
        <f>COUNTIFS($AE$5:$AE$35,"on",december,"Normal uge 1")</f>
        <v>4</v>
      </c>
      <c r="AK39" s="166" t="str">
        <f>$A$25</f>
        <v>Særlig uge 1</v>
      </c>
      <c r="AL39" s="167"/>
      <c r="AM39" s="167"/>
      <c r="AN39" s="168">
        <f>COUNTIF(januar,"Særlig uge 1")</f>
        <v>0</v>
      </c>
      <c r="AO39" s="162" t="s">
        <v>70</v>
      </c>
      <c r="AP39" s="498" t="s">
        <v>161</v>
      </c>
      <c r="AQ39" s="168">
        <f>COUNTIFS($AL$5:$AL$35,"on",januar,"Normal uge 1")</f>
        <v>4</v>
      </c>
      <c r="AR39" s="166" t="str">
        <f>$A$25</f>
        <v>Særlig uge 1</v>
      </c>
      <c r="AS39" s="167"/>
      <c r="AT39" s="167"/>
      <c r="AU39" s="168">
        <f>COUNTIF(februar,"Særlig uge 1")</f>
        <v>0</v>
      </c>
      <c r="AV39" s="162" t="s">
        <v>70</v>
      </c>
      <c r="AW39" s="498" t="s">
        <v>161</v>
      </c>
      <c r="AX39" s="168">
        <f>COUNTIFS($AS$5:$AS$33,"on",februar,"Normal uge 1")</f>
        <v>4</v>
      </c>
      <c r="AY39" s="166" t="str">
        <f>$A$25</f>
        <v>Særlig uge 1</v>
      </c>
      <c r="AZ39" s="167"/>
      <c r="BA39" s="167"/>
      <c r="BB39" s="168">
        <f>COUNTIF(marts,"Særlig uge 1")</f>
        <v>0</v>
      </c>
      <c r="BC39" s="162" t="s">
        <v>70</v>
      </c>
      <c r="BD39" s="498" t="s">
        <v>161</v>
      </c>
      <c r="BE39" s="168">
        <f>COUNTIFS($AZ$5:$AZ$35,"on",marts,"Normal uge 1")</f>
        <v>5</v>
      </c>
      <c r="BF39" s="166" t="str">
        <f>$A$25</f>
        <v>Særlig uge 1</v>
      </c>
      <c r="BG39" s="167"/>
      <c r="BH39" s="167"/>
      <c r="BI39" s="168">
        <f>COUNTIF(april,"Særlig uge 1")</f>
        <v>0</v>
      </c>
      <c r="BJ39" s="162" t="s">
        <v>70</v>
      </c>
      <c r="BK39" s="498" t="s">
        <v>161</v>
      </c>
      <c r="BL39" s="168">
        <f>COUNTIFS($BG$5:$BG$34,"on",april,"Normal uge 1")</f>
        <v>4</v>
      </c>
      <c r="BM39" s="166" t="str">
        <f>$A$25</f>
        <v>Særlig uge 1</v>
      </c>
      <c r="BN39" s="167"/>
      <c r="BO39" s="167"/>
      <c r="BP39" s="168">
        <f>COUNTIF(maj,"Særlig uge 1")</f>
        <v>0</v>
      </c>
      <c r="BQ39" s="162" t="s">
        <v>70</v>
      </c>
      <c r="BR39" s="498" t="s">
        <v>161</v>
      </c>
      <c r="BS39" s="168">
        <f>COUNTIFS($BN$5:$BN$35,"on",maj,"Normal uge 1")</f>
        <v>5</v>
      </c>
      <c r="BT39" s="166" t="str">
        <f>$A$25</f>
        <v>Særlig uge 1</v>
      </c>
      <c r="BU39" s="167"/>
      <c r="BV39" s="167"/>
      <c r="BW39" s="168">
        <f>COUNTIF(juni,"Særlig uge 1")</f>
        <v>0</v>
      </c>
      <c r="BX39" s="162" t="s">
        <v>70</v>
      </c>
      <c r="BY39" s="498" t="s">
        <v>161</v>
      </c>
      <c r="BZ39" s="168">
        <f>COUNTIFS($BU$5:$BU$34,"on",juni,"Normal uge 1")</f>
        <v>4</v>
      </c>
      <c r="CA39" s="166" t="str">
        <f>$A$25</f>
        <v>Særlig uge 1</v>
      </c>
      <c r="CB39" s="167"/>
      <c r="CC39" s="167"/>
      <c r="CD39" s="168">
        <f>COUNTIF(juli,"Særlig uge 1")</f>
        <v>0</v>
      </c>
      <c r="CE39" s="162" t="s">
        <v>70</v>
      </c>
      <c r="CF39" s="498" t="s">
        <v>161</v>
      </c>
      <c r="CG39" s="168">
        <f>COUNTIFS($CB$5:$CB$35,"on",juli,"Normal uge 1")</f>
        <v>4</v>
      </c>
      <c r="CH39" s="161"/>
      <c r="CI39" s="173" t="str">
        <f>CF39</f>
        <v>Norm. 1 Onsdag</v>
      </c>
      <c r="CJ39" s="393">
        <f>CG39+BZ39+BS39+BL39+BE39+AX39+AQ39+AJ39+AC39+V39+O39+H39</f>
        <v>52</v>
      </c>
    </row>
    <row r="40" spans="1:90" s="113" customFormat="1">
      <c r="A40" s="611" t="s">
        <v>79</v>
      </c>
      <c r="B40" s="166" t="str">
        <f>$A$26</f>
        <v>Særlig uge 2</v>
      </c>
      <c r="C40" s="167"/>
      <c r="D40" s="167"/>
      <c r="E40" s="168">
        <f>COUNTIF(august,"Særlig uge 2")</f>
        <v>0</v>
      </c>
      <c r="F40" s="162" t="s">
        <v>70</v>
      </c>
      <c r="G40" s="498" t="s">
        <v>162</v>
      </c>
      <c r="H40" s="168">
        <f>COUNTIFS($C$5:$C$35,"to",august,"Normal uge 1")</f>
        <v>4</v>
      </c>
      <c r="I40" s="166" t="str">
        <f>$A$26</f>
        <v>Særlig uge 2</v>
      </c>
      <c r="J40" s="167"/>
      <c r="K40" s="167"/>
      <c r="L40" s="168">
        <f>COUNTIF(september,"Særlig uge 2")</f>
        <v>0</v>
      </c>
      <c r="M40" s="162" t="s">
        <v>70</v>
      </c>
      <c r="N40" s="498" t="s">
        <v>162</v>
      </c>
      <c r="O40" s="168">
        <f>COUNTIFS($J$5:$J$34,"to",september,"Normal uge 1")</f>
        <v>5</v>
      </c>
      <c r="P40" s="166" t="str">
        <f>$A$26</f>
        <v>Særlig uge 2</v>
      </c>
      <c r="Q40" s="167"/>
      <c r="R40" s="167"/>
      <c r="S40" s="168">
        <f>COUNTIF(oktober,"Særlig uge 2")</f>
        <v>0</v>
      </c>
      <c r="T40" s="162" t="s">
        <v>70</v>
      </c>
      <c r="U40" s="498" t="s">
        <v>162</v>
      </c>
      <c r="V40" s="168">
        <f>COUNTIFS($Q$5:$Q$35,"to",oktober,"Normal uge 1")</f>
        <v>4</v>
      </c>
      <c r="W40" s="166" t="str">
        <f>$A$26</f>
        <v>Særlig uge 2</v>
      </c>
      <c r="X40" s="167"/>
      <c r="Y40" s="167"/>
      <c r="Z40" s="168">
        <f>COUNTIF(november,"Særlig uge 2")</f>
        <v>0</v>
      </c>
      <c r="AA40" s="162" t="s">
        <v>70</v>
      </c>
      <c r="AB40" s="498" t="s">
        <v>162</v>
      </c>
      <c r="AC40" s="168">
        <f>COUNTIFS($X$5:$X$34,"to",november,"Normal uge 1")</f>
        <v>4</v>
      </c>
      <c r="AD40" s="166" t="str">
        <f>$A$26</f>
        <v>Særlig uge 2</v>
      </c>
      <c r="AE40" s="167"/>
      <c r="AF40" s="167"/>
      <c r="AG40" s="168">
        <f>COUNTIF(december,"Særlig uge 2")</f>
        <v>0</v>
      </c>
      <c r="AH40" s="162" t="s">
        <v>70</v>
      </c>
      <c r="AI40" s="498" t="s">
        <v>162</v>
      </c>
      <c r="AJ40" s="168">
        <f>COUNTIFS($AE$5:$AE$35,"to",december,"Normal uge 1")</f>
        <v>5</v>
      </c>
      <c r="AK40" s="166" t="str">
        <f>$A$26</f>
        <v>Særlig uge 2</v>
      </c>
      <c r="AL40" s="167"/>
      <c r="AM40" s="167"/>
      <c r="AN40" s="168">
        <f>COUNTIF(januar,"Særlig uge 2")</f>
        <v>0</v>
      </c>
      <c r="AO40" s="162" t="s">
        <v>70</v>
      </c>
      <c r="AP40" s="498" t="s">
        <v>162</v>
      </c>
      <c r="AQ40" s="168">
        <f>COUNTIFS($AL$5:$AL$35,"to",januar,"Normal uge 1")</f>
        <v>4</v>
      </c>
      <c r="AR40" s="166" t="str">
        <f>$A$26</f>
        <v>Særlig uge 2</v>
      </c>
      <c r="AS40" s="167"/>
      <c r="AT40" s="167"/>
      <c r="AU40" s="168">
        <f>COUNTIF(februar,"Særlig uge 2")</f>
        <v>0</v>
      </c>
      <c r="AV40" s="162" t="s">
        <v>70</v>
      </c>
      <c r="AW40" s="498" t="s">
        <v>162</v>
      </c>
      <c r="AX40" s="168">
        <f>COUNTIFS($AS$5:$AS$33,"to",februar,"Normal uge 1")</f>
        <v>4</v>
      </c>
      <c r="AY40" s="166" t="str">
        <f>$A$26</f>
        <v>Særlig uge 2</v>
      </c>
      <c r="AZ40" s="167"/>
      <c r="BA40" s="167"/>
      <c r="BB40" s="168">
        <f>COUNTIF(marts,"Særlig uge 2")</f>
        <v>0</v>
      </c>
      <c r="BC40" s="162" t="s">
        <v>70</v>
      </c>
      <c r="BD40" s="498" t="s">
        <v>162</v>
      </c>
      <c r="BE40" s="168">
        <f>COUNTIFS($AZ$5:$AZ$35,"to",marts,"Normal uge 1")</f>
        <v>5</v>
      </c>
      <c r="BF40" s="166" t="str">
        <f>$A$26</f>
        <v>Særlig uge 2</v>
      </c>
      <c r="BG40" s="167"/>
      <c r="BH40" s="167"/>
      <c r="BI40" s="168">
        <f>COUNTIF(april,"Særlig uge 2")</f>
        <v>0</v>
      </c>
      <c r="BJ40" s="162" t="s">
        <v>70</v>
      </c>
      <c r="BK40" s="498" t="s">
        <v>162</v>
      </c>
      <c r="BL40" s="168">
        <f>COUNTIFS($BG$5:$BG$34,"to",april,"Normal uge 1")</f>
        <v>3</v>
      </c>
      <c r="BM40" s="166" t="str">
        <f>$A$26</f>
        <v>Særlig uge 2</v>
      </c>
      <c r="BN40" s="167"/>
      <c r="BO40" s="167"/>
      <c r="BP40" s="168">
        <f>COUNTIF(maj,"Særlig uge 2")</f>
        <v>0</v>
      </c>
      <c r="BQ40" s="162" t="s">
        <v>70</v>
      </c>
      <c r="BR40" s="498" t="s">
        <v>162</v>
      </c>
      <c r="BS40" s="168">
        <f>COUNTIFS($BN$5:$BN$35,"to",maj,"Normal uge 1")</f>
        <v>3</v>
      </c>
      <c r="BT40" s="166" t="str">
        <f>$A$26</f>
        <v>Særlig uge 2</v>
      </c>
      <c r="BU40" s="167"/>
      <c r="BV40" s="167"/>
      <c r="BW40" s="168">
        <f>COUNTIF(juni,"Særlig uge 2")</f>
        <v>0</v>
      </c>
      <c r="BX40" s="162" t="s">
        <v>70</v>
      </c>
      <c r="BY40" s="498" t="s">
        <v>162</v>
      </c>
      <c r="BZ40" s="168">
        <f>COUNTIFS($BU$5:$BU$34,"to",juni,"Normal uge 1")</f>
        <v>5</v>
      </c>
      <c r="CA40" s="166" t="str">
        <f>$A$26</f>
        <v>Særlig uge 2</v>
      </c>
      <c r="CB40" s="167"/>
      <c r="CC40" s="167"/>
      <c r="CD40" s="168">
        <f>COUNTIF(juli,"Særlig uge 2")</f>
        <v>0</v>
      </c>
      <c r="CE40" s="162" t="s">
        <v>70</v>
      </c>
      <c r="CF40" s="498" t="s">
        <v>162</v>
      </c>
      <c r="CG40" s="168">
        <f>COUNTIFS($CB$5:$CB$35,"to",juli,"Normal uge 1")</f>
        <v>4</v>
      </c>
      <c r="CH40" s="161"/>
      <c r="CI40" s="173" t="str">
        <f>CF40</f>
        <v>Norm. 1 Torsdag</v>
      </c>
      <c r="CJ40" s="393">
        <f>CG40+BZ40+BS40+BL40+BE40+AX40+AQ40+AJ40+AC40+V40+O40+H40</f>
        <v>50</v>
      </c>
    </row>
    <row r="41" spans="1:90" s="113" customFormat="1" ht="16" customHeight="1">
      <c r="A41" s="697" t="s">
        <v>193</v>
      </c>
      <c r="B41" s="166" t="str">
        <f>$A$27</f>
        <v>Særlig uge 3</v>
      </c>
      <c r="C41" s="167"/>
      <c r="D41" s="167"/>
      <c r="E41" s="168">
        <f>COUNTIF(august,"Særlig uge 3")</f>
        <v>0</v>
      </c>
      <c r="F41" s="162" t="s">
        <v>70</v>
      </c>
      <c r="G41" s="499" t="s">
        <v>163</v>
      </c>
      <c r="H41" s="170">
        <f>COUNTIFS($C$5:$C$35,"fr",august,"Normal uge 1")</f>
        <v>4</v>
      </c>
      <c r="I41" s="166" t="str">
        <f>$A$27</f>
        <v>Særlig uge 3</v>
      </c>
      <c r="J41" s="167"/>
      <c r="K41" s="167"/>
      <c r="L41" s="168">
        <f>COUNTIF(september,"Særlig uge 3")</f>
        <v>0</v>
      </c>
      <c r="M41" s="162" t="s">
        <v>70</v>
      </c>
      <c r="N41" s="499" t="s">
        <v>163</v>
      </c>
      <c r="O41" s="170">
        <f>COUNTIFS($J$5:$J$34,"fr",september,"Normal uge 1")</f>
        <v>5</v>
      </c>
      <c r="P41" s="166" t="str">
        <f>$A$27</f>
        <v>Særlig uge 3</v>
      </c>
      <c r="Q41" s="167"/>
      <c r="R41" s="167"/>
      <c r="S41" s="168">
        <f>COUNTIF(oktober,"Særlig uge 3")</f>
        <v>0</v>
      </c>
      <c r="T41" s="162" t="s">
        <v>70</v>
      </c>
      <c r="U41" s="499" t="s">
        <v>163</v>
      </c>
      <c r="V41" s="170">
        <f>COUNTIFS($Q$5:$Q$35,"fr",oktober,"Normal uge 1")</f>
        <v>4</v>
      </c>
      <c r="W41" s="166" t="str">
        <f>$A$27</f>
        <v>Særlig uge 3</v>
      </c>
      <c r="X41" s="167"/>
      <c r="Y41" s="167"/>
      <c r="Z41" s="168">
        <f>COUNTIF(november,"Særlig uge 3")</f>
        <v>0</v>
      </c>
      <c r="AA41" s="162" t="s">
        <v>70</v>
      </c>
      <c r="AB41" s="499" t="s">
        <v>163</v>
      </c>
      <c r="AC41" s="170">
        <f>COUNTIFS($X$5:$X$34,"fr",november,"Normal uge 1")</f>
        <v>4</v>
      </c>
      <c r="AD41" s="166" t="str">
        <f>$A$27</f>
        <v>Særlig uge 3</v>
      </c>
      <c r="AE41" s="167"/>
      <c r="AF41" s="167"/>
      <c r="AG41" s="168">
        <f>COUNTIF(december,"Særlig uge 3")</f>
        <v>0</v>
      </c>
      <c r="AH41" s="162" t="s">
        <v>70</v>
      </c>
      <c r="AI41" s="499" t="s">
        <v>163</v>
      </c>
      <c r="AJ41" s="170">
        <f>COUNTIFS($AE$5:$AE$35,"fr",december,"Normal uge 1")</f>
        <v>5</v>
      </c>
      <c r="AK41" s="166" t="str">
        <f>$A$27</f>
        <v>Særlig uge 3</v>
      </c>
      <c r="AL41" s="167"/>
      <c r="AM41" s="167"/>
      <c r="AN41" s="168">
        <f>COUNTIF(januar,"Særlig uge 3")</f>
        <v>0</v>
      </c>
      <c r="AO41" s="162" t="s">
        <v>70</v>
      </c>
      <c r="AP41" s="499" t="s">
        <v>163</v>
      </c>
      <c r="AQ41" s="170">
        <f>COUNTIFS($AL$5:$AL$35,"fr",januar,"Normal uge 1")</f>
        <v>4</v>
      </c>
      <c r="AR41" s="166" t="str">
        <f>$A$27</f>
        <v>Særlig uge 3</v>
      </c>
      <c r="AS41" s="167"/>
      <c r="AT41" s="167"/>
      <c r="AU41" s="168">
        <f>COUNTIF(februar,"Særlig uge 3")</f>
        <v>0</v>
      </c>
      <c r="AV41" s="162" t="s">
        <v>70</v>
      </c>
      <c r="AW41" s="499" t="s">
        <v>163</v>
      </c>
      <c r="AX41" s="170">
        <f>COUNTIFS($AS$5:$AS$33,"fr",februar,"Normal uge 1")</f>
        <v>4</v>
      </c>
      <c r="AY41" s="166" t="str">
        <f>$A$27</f>
        <v>Særlig uge 3</v>
      </c>
      <c r="AZ41" s="167"/>
      <c r="BA41" s="167"/>
      <c r="BB41" s="168">
        <f>COUNTIF(marts,"Særlig uge 3")</f>
        <v>0</v>
      </c>
      <c r="BC41" s="162" t="s">
        <v>70</v>
      </c>
      <c r="BD41" s="499" t="s">
        <v>163</v>
      </c>
      <c r="BE41" s="170">
        <f>COUNTIFS($AZ$5:$AZ$35,"fr",marts,"Normal uge 1")</f>
        <v>5</v>
      </c>
      <c r="BF41" s="166" t="str">
        <f>$A$27</f>
        <v>Særlig uge 3</v>
      </c>
      <c r="BG41" s="167"/>
      <c r="BH41" s="167"/>
      <c r="BI41" s="168">
        <f>COUNTIF(april,"Særlig uge 3")</f>
        <v>0</v>
      </c>
      <c r="BJ41" s="162" t="s">
        <v>70</v>
      </c>
      <c r="BK41" s="499" t="s">
        <v>163</v>
      </c>
      <c r="BL41" s="170">
        <f>COUNTIFS($BG$5:$BG$34,"fr",april,"Normal uge 1")</f>
        <v>3</v>
      </c>
      <c r="BM41" s="166" t="str">
        <f>$A$27</f>
        <v>Særlig uge 3</v>
      </c>
      <c r="BN41" s="167"/>
      <c r="BO41" s="167"/>
      <c r="BP41" s="168">
        <f>COUNTIF(maj,"Særlig uge 3")</f>
        <v>0</v>
      </c>
      <c r="BQ41" s="162" t="s">
        <v>70</v>
      </c>
      <c r="BR41" s="499" t="s">
        <v>163</v>
      </c>
      <c r="BS41" s="170">
        <f>COUNTIFS($BN$5:$BN$35,"fr",maj,"Normal uge 1")</f>
        <v>3</v>
      </c>
      <c r="BT41" s="166" t="str">
        <f>$A$27</f>
        <v>Særlig uge 3</v>
      </c>
      <c r="BU41" s="167"/>
      <c r="BV41" s="167"/>
      <c r="BW41" s="168">
        <f>COUNTIF(juni,"Særlig uge 3")</f>
        <v>0</v>
      </c>
      <c r="BX41" s="162" t="s">
        <v>70</v>
      </c>
      <c r="BY41" s="499" t="s">
        <v>163</v>
      </c>
      <c r="BZ41" s="170">
        <f>COUNTIFS($BU$5:$BU$34,"fr",juni,"Normal uge 1")</f>
        <v>5</v>
      </c>
      <c r="CA41" s="166" t="str">
        <f>$A$27</f>
        <v>Særlig uge 3</v>
      </c>
      <c r="CB41" s="167"/>
      <c r="CC41" s="167"/>
      <c r="CD41" s="168">
        <f>COUNTIF(juli,"Særlig uge 3")</f>
        <v>0</v>
      </c>
      <c r="CE41" s="162" t="s">
        <v>70</v>
      </c>
      <c r="CF41" s="499" t="s">
        <v>163</v>
      </c>
      <c r="CG41" s="170">
        <f>COUNTIFS($CB$5:$CB$35,"fr",juli,"Normal uge 1")</f>
        <v>4</v>
      </c>
      <c r="CH41" s="161"/>
      <c r="CI41" s="173" t="str">
        <f>CF41</f>
        <v>Norm. 1 Fredag</v>
      </c>
      <c r="CJ41" s="393">
        <f>CG41+BZ41+BS41+BL41+BE41+AX41+AQ41+AJ41+AC41+V41+O41+H41</f>
        <v>50</v>
      </c>
    </row>
    <row r="42" spans="1:90" s="113" customFormat="1">
      <c r="A42" s="697"/>
      <c r="B42" s="166" t="str">
        <f>$A$28</f>
        <v>Særlig uge 4</v>
      </c>
      <c r="C42" s="167"/>
      <c r="D42" s="167"/>
      <c r="E42" s="168">
        <f>COUNTIF(august,"Særlig uge 4")</f>
        <v>0</v>
      </c>
      <c r="F42" s="162" t="s">
        <v>70</v>
      </c>
      <c r="G42" s="116"/>
      <c r="H42" s="503"/>
      <c r="I42" s="166" t="str">
        <f>$A$28</f>
        <v>Særlig uge 4</v>
      </c>
      <c r="J42" s="167"/>
      <c r="K42" s="167"/>
      <c r="L42" s="168">
        <f>COUNTIF(september,"Særlig uge 4")</f>
        <v>0</v>
      </c>
      <c r="M42" s="162" t="s">
        <v>70</v>
      </c>
      <c r="N42" s="116"/>
      <c r="O42" s="503"/>
      <c r="P42" s="166" t="str">
        <f>$A$28</f>
        <v>Særlig uge 4</v>
      </c>
      <c r="Q42" s="167"/>
      <c r="R42" s="167"/>
      <c r="S42" s="168">
        <f>COUNTIF(oktober,"Særlig uge 4")</f>
        <v>0</v>
      </c>
      <c r="T42" s="162" t="s">
        <v>70</v>
      </c>
      <c r="U42" s="116"/>
      <c r="V42" s="503"/>
      <c r="W42" s="166" t="str">
        <f>$A$28</f>
        <v>Særlig uge 4</v>
      </c>
      <c r="X42" s="167"/>
      <c r="Y42" s="167"/>
      <c r="Z42" s="168">
        <f>COUNTIF(november,"Særlig uge 4")</f>
        <v>0</v>
      </c>
      <c r="AA42" s="162" t="s">
        <v>70</v>
      </c>
      <c r="AB42" s="116"/>
      <c r="AC42" s="503"/>
      <c r="AD42" s="166" t="str">
        <f>$A$28</f>
        <v>Særlig uge 4</v>
      </c>
      <c r="AE42" s="167"/>
      <c r="AF42" s="167"/>
      <c r="AG42" s="168">
        <f>COUNTIF(december,"Særlig uge 4")</f>
        <v>0</v>
      </c>
      <c r="AH42" s="162" t="s">
        <v>70</v>
      </c>
      <c r="AI42" s="116"/>
      <c r="AJ42" s="503"/>
      <c r="AK42" s="166" t="str">
        <f>$A$28</f>
        <v>Særlig uge 4</v>
      </c>
      <c r="AL42" s="167"/>
      <c r="AM42" s="167"/>
      <c r="AN42" s="168">
        <f>COUNTIF(januar,"Særlig uge 4")</f>
        <v>0</v>
      </c>
      <c r="AO42" s="162" t="s">
        <v>70</v>
      </c>
      <c r="AP42" s="116"/>
      <c r="AQ42" s="503"/>
      <c r="AR42" s="166" t="str">
        <f>$A$28</f>
        <v>Særlig uge 4</v>
      </c>
      <c r="AS42" s="167"/>
      <c r="AT42" s="167"/>
      <c r="AU42" s="168">
        <f>COUNTIF(februar,"Særlig uge 4")</f>
        <v>0</v>
      </c>
      <c r="AV42" s="162" t="s">
        <v>70</v>
      </c>
      <c r="AW42" s="116"/>
      <c r="AX42" s="503"/>
      <c r="AY42" s="166" t="str">
        <f>$A$28</f>
        <v>Særlig uge 4</v>
      </c>
      <c r="AZ42" s="167"/>
      <c r="BA42" s="167"/>
      <c r="BB42" s="168">
        <f>COUNTIF(marts,"Særlig uge 4")</f>
        <v>0</v>
      </c>
      <c r="BC42" s="162" t="s">
        <v>70</v>
      </c>
      <c r="BD42" s="116"/>
      <c r="BE42" s="503"/>
      <c r="BF42" s="166" t="str">
        <f>$A$28</f>
        <v>Særlig uge 4</v>
      </c>
      <c r="BG42" s="167"/>
      <c r="BH42" s="167"/>
      <c r="BI42" s="168">
        <f>COUNTIF(april,"Særlig uge 4")</f>
        <v>0</v>
      </c>
      <c r="BJ42" s="162" t="s">
        <v>70</v>
      </c>
      <c r="BK42" s="116"/>
      <c r="BL42" s="503"/>
      <c r="BM42" s="166" t="str">
        <f>$A$28</f>
        <v>Særlig uge 4</v>
      </c>
      <c r="BN42" s="167"/>
      <c r="BO42" s="167"/>
      <c r="BP42" s="168">
        <f>COUNTIF(maj,"Særlig uge 4")</f>
        <v>0</v>
      </c>
      <c r="BQ42" s="162" t="s">
        <v>70</v>
      </c>
      <c r="BR42" s="116"/>
      <c r="BS42" s="503"/>
      <c r="BT42" s="166" t="str">
        <f>$A$28</f>
        <v>Særlig uge 4</v>
      </c>
      <c r="BU42" s="167"/>
      <c r="BV42" s="167"/>
      <c r="BW42" s="168">
        <f>COUNTIF(juni,"Særlig uge 4")</f>
        <v>0</v>
      </c>
      <c r="BX42" s="162" t="s">
        <v>70</v>
      </c>
      <c r="BY42" s="116"/>
      <c r="BZ42" s="503"/>
      <c r="CA42" s="166" t="str">
        <f>$A$28</f>
        <v>Særlig uge 4</v>
      </c>
      <c r="CB42" s="167"/>
      <c r="CC42" s="167"/>
      <c r="CD42" s="168">
        <f>COUNTIF(juli,"Særlig uge 4")</f>
        <v>0</v>
      </c>
      <c r="CE42" s="162" t="s">
        <v>70</v>
      </c>
      <c r="CF42" s="116"/>
      <c r="CG42" s="116"/>
      <c r="CH42" s="161"/>
      <c r="CI42" s="247"/>
      <c r="CJ42" s="248"/>
    </row>
    <row r="43" spans="1:90" s="113" customFormat="1" ht="16" customHeight="1">
      <c r="A43" s="697"/>
      <c r="B43" s="166" t="s">
        <v>196</v>
      </c>
      <c r="C43" s="167"/>
      <c r="D43" s="167"/>
      <c r="E43" s="168">
        <f>COUNTIF(august,"Rul 1")</f>
        <v>0</v>
      </c>
      <c r="F43" s="162" t="s">
        <v>200</v>
      </c>
      <c r="G43" s="621" t="s">
        <v>164</v>
      </c>
      <c r="H43" s="622">
        <f>COUNTIFS($C$5:$C$35,"ma",august,"Normal uge 2")</f>
        <v>0</v>
      </c>
      <c r="I43" s="166" t="s">
        <v>196</v>
      </c>
      <c r="J43" s="167"/>
      <c r="K43" s="167"/>
      <c r="L43" s="168">
        <f>COUNTIF(september,"Rul 1")</f>
        <v>0</v>
      </c>
      <c r="M43" s="162" t="s">
        <v>200</v>
      </c>
      <c r="N43" s="621" t="s">
        <v>164</v>
      </c>
      <c r="O43" s="622">
        <f>COUNTIFS($J$5:$J$34,"ma",september,"Normal uge 2")</f>
        <v>0</v>
      </c>
      <c r="P43" s="166" t="s">
        <v>196</v>
      </c>
      <c r="Q43" s="167"/>
      <c r="R43" s="167"/>
      <c r="S43" s="168">
        <f>COUNTIF(oktober,"Rul 1")</f>
        <v>0</v>
      </c>
      <c r="T43" s="162" t="s">
        <v>200</v>
      </c>
      <c r="U43" s="621" t="s">
        <v>164</v>
      </c>
      <c r="V43" s="622">
        <f>COUNTIFS($Q$5:$Q$35,"ma",oktober,"Normal uge 2")</f>
        <v>0</v>
      </c>
      <c r="W43" s="166" t="s">
        <v>196</v>
      </c>
      <c r="X43" s="167"/>
      <c r="Y43" s="167"/>
      <c r="Z43" s="168">
        <f>COUNTIF(november,"Rul 1")</f>
        <v>0</v>
      </c>
      <c r="AA43" s="162" t="s">
        <v>200</v>
      </c>
      <c r="AB43" s="621" t="s">
        <v>164</v>
      </c>
      <c r="AC43" s="622">
        <f>COUNTIFS($X$5:$X$34,"ma",november,"Normal uge 2")</f>
        <v>0</v>
      </c>
      <c r="AD43" s="166" t="s">
        <v>196</v>
      </c>
      <c r="AE43" s="167"/>
      <c r="AF43" s="167"/>
      <c r="AG43" s="168">
        <f>COUNTIF(december,"Rul 1")</f>
        <v>0</v>
      </c>
      <c r="AH43" s="162" t="s">
        <v>200</v>
      </c>
      <c r="AI43" s="621" t="s">
        <v>164</v>
      </c>
      <c r="AJ43" s="622">
        <f>COUNTIFS($AE$5:$AE$35,"ma",december,"Normal uge 2")</f>
        <v>0</v>
      </c>
      <c r="AK43" s="166" t="s">
        <v>196</v>
      </c>
      <c r="AL43" s="167"/>
      <c r="AM43" s="167"/>
      <c r="AN43" s="168">
        <f>COUNTIF(januar,"Rul 1")</f>
        <v>0</v>
      </c>
      <c r="AO43" s="162" t="s">
        <v>200</v>
      </c>
      <c r="AP43" s="621" t="s">
        <v>164</v>
      </c>
      <c r="AQ43" s="622">
        <f>COUNTIFS($AL$5:$AL$35,"ma",januar,"Normal uge 2")</f>
        <v>0</v>
      </c>
      <c r="AR43" s="166" t="s">
        <v>196</v>
      </c>
      <c r="AS43" s="167"/>
      <c r="AT43" s="167"/>
      <c r="AU43" s="168">
        <f>COUNTIF(februar,"Rul 1")</f>
        <v>0</v>
      </c>
      <c r="AV43" s="162" t="s">
        <v>200</v>
      </c>
      <c r="AW43" s="621" t="s">
        <v>164</v>
      </c>
      <c r="AX43" s="622">
        <f>COUNTIFS($AS$5:$AS$33,"ma",februar,"Normal uge 2")</f>
        <v>0</v>
      </c>
      <c r="AY43" s="166" t="s">
        <v>196</v>
      </c>
      <c r="AZ43" s="167"/>
      <c r="BA43" s="167"/>
      <c r="BB43" s="168">
        <f>COUNTIF(marts,"Rul 1")</f>
        <v>0</v>
      </c>
      <c r="BC43" s="162" t="s">
        <v>200</v>
      </c>
      <c r="BD43" s="621" t="s">
        <v>164</v>
      </c>
      <c r="BE43" s="622">
        <f>COUNTIFS($AZ$5:$AZ$35,"ma",marts,"Normal uge 2")</f>
        <v>0</v>
      </c>
      <c r="BF43" s="166" t="s">
        <v>196</v>
      </c>
      <c r="BG43" s="167"/>
      <c r="BH43" s="167"/>
      <c r="BI43" s="168">
        <f>COUNTIF(april,"Rul 1")</f>
        <v>0</v>
      </c>
      <c r="BJ43" s="162" t="s">
        <v>200</v>
      </c>
      <c r="BK43" s="621" t="s">
        <v>164</v>
      </c>
      <c r="BL43" s="622">
        <f>COUNTIFS($BG$5:$BG$34,"ma",april,"Normal uge 2")</f>
        <v>0</v>
      </c>
      <c r="BM43" s="166" t="s">
        <v>196</v>
      </c>
      <c r="BN43" s="167"/>
      <c r="BO43" s="167"/>
      <c r="BP43" s="168">
        <f>COUNTIF(maj,"Rul 1")</f>
        <v>0</v>
      </c>
      <c r="BQ43" s="162" t="s">
        <v>200</v>
      </c>
      <c r="BR43" s="621" t="s">
        <v>164</v>
      </c>
      <c r="BS43" s="622">
        <f>COUNTIFS($BN$5:$BN$35,"ma",maj,"Normal uge 2")</f>
        <v>0</v>
      </c>
      <c r="BT43" s="166" t="s">
        <v>196</v>
      </c>
      <c r="BU43" s="167"/>
      <c r="BV43" s="167"/>
      <c r="BW43" s="168">
        <f>COUNTIF(juni,"Rul 1")</f>
        <v>0</v>
      </c>
      <c r="BX43" s="162" t="s">
        <v>200</v>
      </c>
      <c r="BY43" s="621" t="s">
        <v>164</v>
      </c>
      <c r="BZ43" s="622">
        <f>COUNTIFS($BU$5:$BU$34,"ma",juni,"Normal uge 2")</f>
        <v>0</v>
      </c>
      <c r="CA43" s="166" t="s">
        <v>196</v>
      </c>
      <c r="CB43" s="167"/>
      <c r="CC43" s="167"/>
      <c r="CD43" s="168">
        <f>COUNTIF(juli,"Rul 1")</f>
        <v>0</v>
      </c>
      <c r="CE43" s="162" t="s">
        <v>200</v>
      </c>
      <c r="CF43" s="621" t="s">
        <v>164</v>
      </c>
      <c r="CG43" s="622">
        <f>COUNTIFS($CB$5:$CB$35,"ma",juli,"Normal uge 2")</f>
        <v>0</v>
      </c>
      <c r="CH43" s="161"/>
      <c r="CI43" s="631" t="str">
        <f>CF43</f>
        <v>Norm. 2 Mandag</v>
      </c>
      <c r="CJ43" s="632">
        <f>CG43+BZ43+BS43+BL43+BE43+AX43+AQ43+AJ43+AC43+V43+O43+H43</f>
        <v>0</v>
      </c>
    </row>
    <row r="44" spans="1:90" s="113" customFormat="1" ht="16" customHeight="1">
      <c r="A44" s="697"/>
      <c r="B44" s="166" t="s">
        <v>197</v>
      </c>
      <c r="C44" s="167"/>
      <c r="D44" s="167"/>
      <c r="E44" s="168">
        <f>COUNTIF(august,"Rul 2")</f>
        <v>0</v>
      </c>
      <c r="F44" s="162" t="s">
        <v>200</v>
      </c>
      <c r="G44" s="623" t="s">
        <v>159</v>
      </c>
      <c r="H44" s="624">
        <f>COUNTIFS($C$5:$C$35,"ti",august,"Normal uge 2")</f>
        <v>0</v>
      </c>
      <c r="I44" s="166" t="s">
        <v>197</v>
      </c>
      <c r="J44" s="167"/>
      <c r="K44" s="167"/>
      <c r="L44" s="168">
        <f>COUNTIF(september,"Rul 2")</f>
        <v>0</v>
      </c>
      <c r="M44" s="162" t="s">
        <v>200</v>
      </c>
      <c r="N44" s="623" t="s">
        <v>159</v>
      </c>
      <c r="O44" s="624">
        <f>COUNTIFS($J$5:$J$34,"ti",september,"Normal uge 2")</f>
        <v>0</v>
      </c>
      <c r="P44" s="166" t="s">
        <v>197</v>
      </c>
      <c r="Q44" s="167"/>
      <c r="R44" s="167"/>
      <c r="S44" s="168">
        <f>COUNTIF(oktober,"Rul 2")</f>
        <v>0</v>
      </c>
      <c r="T44" s="162" t="s">
        <v>200</v>
      </c>
      <c r="U44" s="623" t="s">
        <v>159</v>
      </c>
      <c r="V44" s="624">
        <f>COUNTIFS($Q$5:$Q$35,"ti",oktober,"Normal uge 2")</f>
        <v>0</v>
      </c>
      <c r="W44" s="166" t="s">
        <v>197</v>
      </c>
      <c r="X44" s="167"/>
      <c r="Y44" s="167"/>
      <c r="Z44" s="168">
        <f>COUNTIF(november,"Rul 2")</f>
        <v>0</v>
      </c>
      <c r="AA44" s="162" t="s">
        <v>200</v>
      </c>
      <c r="AB44" s="623" t="s">
        <v>159</v>
      </c>
      <c r="AC44" s="624">
        <f>COUNTIFS($X$5:$X$34,"ti",november,"Normal uge 2")</f>
        <v>0</v>
      </c>
      <c r="AD44" s="166" t="s">
        <v>197</v>
      </c>
      <c r="AE44" s="167"/>
      <c r="AF44" s="167"/>
      <c r="AG44" s="168">
        <f>COUNTIF(december,"Rul 2")</f>
        <v>0</v>
      </c>
      <c r="AH44" s="162" t="s">
        <v>200</v>
      </c>
      <c r="AI44" s="623" t="s">
        <v>159</v>
      </c>
      <c r="AJ44" s="624">
        <f>COUNTIFS($AE$5:$AE$35,"ti",december,"Normal uge 2")</f>
        <v>0</v>
      </c>
      <c r="AK44" s="166" t="s">
        <v>197</v>
      </c>
      <c r="AL44" s="167"/>
      <c r="AM44" s="167"/>
      <c r="AN44" s="168">
        <f>COUNTIF(januar,"Rul 2")</f>
        <v>0</v>
      </c>
      <c r="AO44" s="162" t="s">
        <v>200</v>
      </c>
      <c r="AP44" s="623" t="s">
        <v>159</v>
      </c>
      <c r="AQ44" s="624">
        <f>COUNTIFS($AL$5:$AL$35,"ti",januar,"Normal uge 2")</f>
        <v>0</v>
      </c>
      <c r="AR44" s="166" t="s">
        <v>197</v>
      </c>
      <c r="AS44" s="167"/>
      <c r="AT44" s="167"/>
      <c r="AU44" s="168">
        <f>COUNTIF(februar,"Rul 2")</f>
        <v>0</v>
      </c>
      <c r="AV44" s="162" t="s">
        <v>200</v>
      </c>
      <c r="AW44" s="623" t="s">
        <v>159</v>
      </c>
      <c r="AX44" s="624">
        <f>COUNTIFS($AS$5:$AS$33,"ti",februar,"Normal uge 2")</f>
        <v>0</v>
      </c>
      <c r="AY44" s="166" t="s">
        <v>197</v>
      </c>
      <c r="AZ44" s="167"/>
      <c r="BA44" s="167"/>
      <c r="BB44" s="168">
        <f>COUNTIF(marts,"Rul 2")</f>
        <v>0</v>
      </c>
      <c r="BC44" s="162" t="s">
        <v>200</v>
      </c>
      <c r="BD44" s="623" t="s">
        <v>159</v>
      </c>
      <c r="BE44" s="624">
        <f>COUNTIFS($AZ$5:$AZ$35,"ti",marts,"Normal uge 2")</f>
        <v>0</v>
      </c>
      <c r="BF44" s="166" t="s">
        <v>197</v>
      </c>
      <c r="BG44" s="167"/>
      <c r="BH44" s="167"/>
      <c r="BI44" s="168">
        <f>COUNTIF(april,"Rul 2")</f>
        <v>0</v>
      </c>
      <c r="BJ44" s="162" t="s">
        <v>200</v>
      </c>
      <c r="BK44" s="623" t="s">
        <v>159</v>
      </c>
      <c r="BL44" s="624">
        <f>COUNTIFS($BG$5:$BG$34,"ti",april,"Normal uge 2")</f>
        <v>0</v>
      </c>
      <c r="BM44" s="166" t="s">
        <v>197</v>
      </c>
      <c r="BN44" s="167"/>
      <c r="BO44" s="167"/>
      <c r="BP44" s="168">
        <f>COUNTIF(maj,"Rul 2")</f>
        <v>0</v>
      </c>
      <c r="BQ44" s="162" t="s">
        <v>200</v>
      </c>
      <c r="BR44" s="623" t="s">
        <v>159</v>
      </c>
      <c r="BS44" s="624">
        <f>COUNTIFS($BN$5:$BN$35,"ti",maj,"Normal uge 2")</f>
        <v>0</v>
      </c>
      <c r="BT44" s="166" t="s">
        <v>197</v>
      </c>
      <c r="BU44" s="167"/>
      <c r="BV44" s="167"/>
      <c r="BW44" s="168">
        <f>COUNTIF(juni,"Rul 2")</f>
        <v>0</v>
      </c>
      <c r="BX44" s="162" t="s">
        <v>200</v>
      </c>
      <c r="BY44" s="623" t="s">
        <v>159</v>
      </c>
      <c r="BZ44" s="624">
        <f>COUNTIFS($BU$5:$BU$34,"ti",juni,"Normal uge 2")</f>
        <v>0</v>
      </c>
      <c r="CA44" s="166" t="s">
        <v>197</v>
      </c>
      <c r="CB44" s="167"/>
      <c r="CC44" s="167"/>
      <c r="CD44" s="168">
        <f>COUNTIF(juli,"Rul 2")</f>
        <v>0</v>
      </c>
      <c r="CE44" s="162" t="s">
        <v>200</v>
      </c>
      <c r="CF44" s="623" t="s">
        <v>159</v>
      </c>
      <c r="CG44" s="624">
        <f>COUNTIFS($CB$5:$CB$35,"ti",juli,"Normal uge 2")</f>
        <v>0</v>
      </c>
      <c r="CH44" s="161"/>
      <c r="CI44" s="631" t="str">
        <f>CF44</f>
        <v>Norm. 2 Tirsdag</v>
      </c>
      <c r="CJ44" s="632">
        <f>CG44+BZ44+BS44+BL44+BE44+AX44+AQ44+AJ44+AC44+V44+O44+H44</f>
        <v>0</v>
      </c>
    </row>
    <row r="45" spans="1:90" s="113" customFormat="1" ht="16" customHeight="1">
      <c r="A45" s="555"/>
      <c r="B45" s="166" t="s">
        <v>198</v>
      </c>
      <c r="C45" s="167"/>
      <c r="D45" s="167"/>
      <c r="E45" s="168">
        <f>COUNTIF(august,"Rul 3")</f>
        <v>0</v>
      </c>
      <c r="F45" s="162" t="s">
        <v>200</v>
      </c>
      <c r="G45" s="623" t="s">
        <v>165</v>
      </c>
      <c r="H45" s="624">
        <f>COUNTIFS($C$5:$C$35,"on",august,"Normal uge 2")</f>
        <v>0</v>
      </c>
      <c r="I45" s="166" t="s">
        <v>198</v>
      </c>
      <c r="J45" s="167"/>
      <c r="K45" s="167"/>
      <c r="L45" s="168">
        <f>COUNTIF(september,"Rul 3")</f>
        <v>0</v>
      </c>
      <c r="M45" s="162" t="s">
        <v>200</v>
      </c>
      <c r="N45" s="623" t="s">
        <v>165</v>
      </c>
      <c r="O45" s="624">
        <f>COUNTIFS($J$5:$J$34,"on",september,"Normal uge 2")</f>
        <v>0</v>
      </c>
      <c r="P45" s="166" t="s">
        <v>198</v>
      </c>
      <c r="Q45" s="167"/>
      <c r="R45" s="167"/>
      <c r="S45" s="168">
        <f>COUNTIF(oktober,"Rul 3")</f>
        <v>0</v>
      </c>
      <c r="T45" s="162" t="s">
        <v>200</v>
      </c>
      <c r="U45" s="623" t="s">
        <v>165</v>
      </c>
      <c r="V45" s="624">
        <f>COUNTIFS($Q$5:$Q$35,"on",oktober,"Normal uge 2")</f>
        <v>0</v>
      </c>
      <c r="W45" s="166" t="s">
        <v>198</v>
      </c>
      <c r="X45" s="167"/>
      <c r="Y45" s="167"/>
      <c r="Z45" s="168">
        <f>COUNTIF(november,"Rul 3")</f>
        <v>0</v>
      </c>
      <c r="AA45" s="162" t="s">
        <v>200</v>
      </c>
      <c r="AB45" s="623" t="s">
        <v>165</v>
      </c>
      <c r="AC45" s="624">
        <f>COUNTIFS($X$5:$X$34,"on",november,"Normal uge 2")</f>
        <v>0</v>
      </c>
      <c r="AD45" s="166" t="s">
        <v>198</v>
      </c>
      <c r="AE45" s="167"/>
      <c r="AF45" s="167"/>
      <c r="AG45" s="168">
        <f>COUNTIF(december,"Rul 3")</f>
        <v>0</v>
      </c>
      <c r="AH45" s="162" t="s">
        <v>200</v>
      </c>
      <c r="AI45" s="623" t="s">
        <v>165</v>
      </c>
      <c r="AJ45" s="624">
        <f>COUNTIFS($AE$5:$AE$35,"on",december,"Normal uge 2")</f>
        <v>0</v>
      </c>
      <c r="AK45" s="166" t="s">
        <v>198</v>
      </c>
      <c r="AL45" s="167"/>
      <c r="AM45" s="167"/>
      <c r="AN45" s="168">
        <f>COUNTIF(januar,"Rul 3")</f>
        <v>0</v>
      </c>
      <c r="AO45" s="162" t="s">
        <v>200</v>
      </c>
      <c r="AP45" s="623" t="s">
        <v>165</v>
      </c>
      <c r="AQ45" s="624">
        <f>COUNTIFS($AL$5:$AL$35,"on",januar,"Normal uge 2")</f>
        <v>0</v>
      </c>
      <c r="AR45" s="166" t="s">
        <v>198</v>
      </c>
      <c r="AS45" s="167"/>
      <c r="AT45" s="167"/>
      <c r="AU45" s="168">
        <f>COUNTIF(februar,"Rul 3")</f>
        <v>0</v>
      </c>
      <c r="AV45" s="162" t="s">
        <v>200</v>
      </c>
      <c r="AW45" s="623" t="s">
        <v>165</v>
      </c>
      <c r="AX45" s="624">
        <f>COUNTIFS($AS$5:$AS$33,"on",februar,"Normal uge 2")</f>
        <v>0</v>
      </c>
      <c r="AY45" s="166" t="s">
        <v>198</v>
      </c>
      <c r="AZ45" s="167"/>
      <c r="BA45" s="167"/>
      <c r="BB45" s="168">
        <f>COUNTIF(marts,"Rul 3")</f>
        <v>0</v>
      </c>
      <c r="BC45" s="162" t="s">
        <v>200</v>
      </c>
      <c r="BD45" s="623" t="s">
        <v>165</v>
      </c>
      <c r="BE45" s="624">
        <f>COUNTIFS($AZ$5:$AZ$35,"on",marts,"Normal uge 2")</f>
        <v>0</v>
      </c>
      <c r="BF45" s="166" t="s">
        <v>198</v>
      </c>
      <c r="BG45" s="167"/>
      <c r="BH45" s="167"/>
      <c r="BI45" s="168">
        <f>COUNTIF(april,"Rul 3")</f>
        <v>0</v>
      </c>
      <c r="BJ45" s="162" t="s">
        <v>200</v>
      </c>
      <c r="BK45" s="623" t="s">
        <v>165</v>
      </c>
      <c r="BL45" s="624">
        <f>COUNTIFS($BG$5:$BG$34,"on",april,"Normal uge 2")</f>
        <v>0</v>
      </c>
      <c r="BM45" s="166" t="s">
        <v>198</v>
      </c>
      <c r="BN45" s="167"/>
      <c r="BO45" s="167"/>
      <c r="BP45" s="168">
        <f>COUNTIF(maj,"Rul 3")</f>
        <v>0</v>
      </c>
      <c r="BQ45" s="162" t="s">
        <v>200</v>
      </c>
      <c r="BR45" s="623" t="s">
        <v>165</v>
      </c>
      <c r="BS45" s="624">
        <f>COUNTIFS($BN$5:$BN$35,"on",maj,"Normal uge 2")</f>
        <v>0</v>
      </c>
      <c r="BT45" s="166" t="s">
        <v>198</v>
      </c>
      <c r="BU45" s="167"/>
      <c r="BV45" s="167"/>
      <c r="BW45" s="168">
        <f>COUNTIF(juni,"Rul 3")</f>
        <v>0</v>
      </c>
      <c r="BX45" s="162" t="s">
        <v>200</v>
      </c>
      <c r="BY45" s="623" t="s">
        <v>165</v>
      </c>
      <c r="BZ45" s="624">
        <f>COUNTIFS($BU$5:$BU$34,"on",juni,"Normal uge 2")</f>
        <v>0</v>
      </c>
      <c r="CA45" s="166" t="s">
        <v>198</v>
      </c>
      <c r="CB45" s="167"/>
      <c r="CC45" s="167"/>
      <c r="CD45" s="168">
        <f>COUNTIF(juli,"Rul 3")</f>
        <v>0</v>
      </c>
      <c r="CE45" s="162" t="s">
        <v>200</v>
      </c>
      <c r="CF45" s="623" t="s">
        <v>165</v>
      </c>
      <c r="CG45" s="624">
        <f>COUNTIFS($CB$5:$CB$35,"on",juli,"Normal uge 2")</f>
        <v>0</v>
      </c>
      <c r="CH45" s="161"/>
      <c r="CI45" s="631" t="str">
        <f>CF45</f>
        <v>Norm. 2 Onsdag</v>
      </c>
      <c r="CJ45" s="632">
        <f>CG45+BZ45+BS45+BL45+BE45+AX45+AQ45+AJ45+AC45+V45+O45+H45</f>
        <v>0</v>
      </c>
    </row>
    <row r="46" spans="1:90" s="113" customFormat="1" ht="16" customHeight="1">
      <c r="A46" s="554" t="s">
        <v>130</v>
      </c>
      <c r="B46" s="166" t="s">
        <v>199</v>
      </c>
      <c r="C46" s="167"/>
      <c r="D46" s="167"/>
      <c r="E46" s="168">
        <f>COUNTIF(august,"Rul 4")</f>
        <v>0</v>
      </c>
      <c r="F46" s="162" t="s">
        <v>200</v>
      </c>
      <c r="G46" s="623" t="s">
        <v>166</v>
      </c>
      <c r="H46" s="624">
        <f>COUNTIFS($C$5:$C$35,"to",august,"Normal uge 2")</f>
        <v>0</v>
      </c>
      <c r="I46" s="166" t="s">
        <v>199</v>
      </c>
      <c r="J46" s="167"/>
      <c r="K46" s="167"/>
      <c r="L46" s="168">
        <f>COUNTIF(september,"Rul 4")</f>
        <v>0</v>
      </c>
      <c r="M46" s="162" t="s">
        <v>200</v>
      </c>
      <c r="N46" s="623" t="s">
        <v>166</v>
      </c>
      <c r="O46" s="624">
        <f>COUNTIFS($J$5:$J$34,"to",september,"Normal uge 2")</f>
        <v>0</v>
      </c>
      <c r="P46" s="166" t="s">
        <v>199</v>
      </c>
      <c r="Q46" s="167"/>
      <c r="R46" s="167"/>
      <c r="S46" s="168">
        <f>COUNTIF(oktober,"Rul 4")</f>
        <v>0</v>
      </c>
      <c r="T46" s="162" t="s">
        <v>200</v>
      </c>
      <c r="U46" s="623" t="s">
        <v>166</v>
      </c>
      <c r="V46" s="624">
        <f>COUNTIFS($Q$5:$Q$35,"to",oktober,"Normal uge 2")</f>
        <v>0</v>
      </c>
      <c r="W46" s="166" t="s">
        <v>199</v>
      </c>
      <c r="X46" s="167"/>
      <c r="Y46" s="167"/>
      <c r="Z46" s="168">
        <f>COUNTIF(november,"Rul 4")</f>
        <v>0</v>
      </c>
      <c r="AA46" s="162" t="s">
        <v>200</v>
      </c>
      <c r="AB46" s="623" t="s">
        <v>166</v>
      </c>
      <c r="AC46" s="624">
        <f>COUNTIFS($X$5:$X$34,"to",november,"Normal uge 2")</f>
        <v>0</v>
      </c>
      <c r="AD46" s="166" t="s">
        <v>199</v>
      </c>
      <c r="AE46" s="167"/>
      <c r="AF46" s="167"/>
      <c r="AG46" s="168">
        <f>COUNTIF(december,"Rul 4")</f>
        <v>0</v>
      </c>
      <c r="AH46" s="162" t="s">
        <v>200</v>
      </c>
      <c r="AI46" s="623" t="s">
        <v>166</v>
      </c>
      <c r="AJ46" s="624">
        <f>COUNTIFS($AE$5:$AE$35,"to",december,"Normal uge 2")</f>
        <v>0</v>
      </c>
      <c r="AK46" s="166" t="s">
        <v>199</v>
      </c>
      <c r="AL46" s="167"/>
      <c r="AM46" s="167"/>
      <c r="AN46" s="168">
        <f>COUNTIF(januar,"Rul 4")</f>
        <v>0</v>
      </c>
      <c r="AO46" s="162" t="s">
        <v>200</v>
      </c>
      <c r="AP46" s="623" t="s">
        <v>166</v>
      </c>
      <c r="AQ46" s="624">
        <f>COUNTIFS($AL$5:$AL$35,"to",januar,"Normal uge 2")</f>
        <v>0</v>
      </c>
      <c r="AR46" s="166" t="s">
        <v>199</v>
      </c>
      <c r="AS46" s="167"/>
      <c r="AT46" s="167"/>
      <c r="AU46" s="168">
        <f>COUNTIF(februar,"Rul 4")</f>
        <v>0</v>
      </c>
      <c r="AV46" s="162" t="s">
        <v>200</v>
      </c>
      <c r="AW46" s="623" t="s">
        <v>166</v>
      </c>
      <c r="AX46" s="624">
        <f>COUNTIFS($AS$5:$AS$33,"to",februar,"Normal uge 2")</f>
        <v>0</v>
      </c>
      <c r="AY46" s="166" t="s">
        <v>199</v>
      </c>
      <c r="AZ46" s="167"/>
      <c r="BA46" s="167"/>
      <c r="BB46" s="168">
        <f>COUNTIF(marts,"Rul 4")</f>
        <v>0</v>
      </c>
      <c r="BC46" s="162" t="s">
        <v>200</v>
      </c>
      <c r="BD46" s="623" t="s">
        <v>166</v>
      </c>
      <c r="BE46" s="624">
        <f>COUNTIFS($AZ$5:$AZ$35,"to",marts,"Normal uge 2")</f>
        <v>0</v>
      </c>
      <c r="BF46" s="166" t="s">
        <v>199</v>
      </c>
      <c r="BG46" s="167"/>
      <c r="BH46" s="167"/>
      <c r="BI46" s="168">
        <f>COUNTIF(april,"Rul 4")</f>
        <v>0</v>
      </c>
      <c r="BJ46" s="162" t="s">
        <v>200</v>
      </c>
      <c r="BK46" s="623" t="s">
        <v>166</v>
      </c>
      <c r="BL46" s="624">
        <f>COUNTIFS($BG$5:$BG$34,"to",april,"Normal uge 2")</f>
        <v>0</v>
      </c>
      <c r="BM46" s="166" t="s">
        <v>199</v>
      </c>
      <c r="BN46" s="167"/>
      <c r="BO46" s="167"/>
      <c r="BP46" s="168">
        <f>COUNTIF(maj,"Rul 4")</f>
        <v>0</v>
      </c>
      <c r="BQ46" s="162" t="s">
        <v>200</v>
      </c>
      <c r="BR46" s="623" t="s">
        <v>166</v>
      </c>
      <c r="BS46" s="624">
        <f>COUNTIFS($BN$5:$BN$35,"to",maj,"Normal uge 2")</f>
        <v>0</v>
      </c>
      <c r="BT46" s="166" t="s">
        <v>199</v>
      </c>
      <c r="BU46" s="167"/>
      <c r="BV46" s="167"/>
      <c r="BW46" s="168">
        <f>COUNTIF(juni,"Rul 4")</f>
        <v>0</v>
      </c>
      <c r="BX46" s="162" t="s">
        <v>200</v>
      </c>
      <c r="BY46" s="623" t="s">
        <v>166</v>
      </c>
      <c r="BZ46" s="624">
        <f>COUNTIFS($BU$5:$BU$34,"to",juni,"Normal uge 2")</f>
        <v>0</v>
      </c>
      <c r="CA46" s="166" t="s">
        <v>199</v>
      </c>
      <c r="CB46" s="167"/>
      <c r="CC46" s="167"/>
      <c r="CD46" s="168">
        <f>COUNTIF(juli,"Rul 4")</f>
        <v>0</v>
      </c>
      <c r="CE46" s="162" t="s">
        <v>200</v>
      </c>
      <c r="CF46" s="623" t="s">
        <v>166</v>
      </c>
      <c r="CG46" s="624">
        <f>COUNTIFS($CB$5:$CB$35,"to",juli,"Normal uge 2")</f>
        <v>0</v>
      </c>
      <c r="CH46" s="161"/>
      <c r="CI46" s="631" t="str">
        <f>CF46</f>
        <v>Norm. 2 Torsdag</v>
      </c>
      <c r="CJ46" s="632">
        <f>CG46+BZ46+BS46+BL46+BE46+AX46+AQ46+AJ46+AC46+V46+O46+H46</f>
        <v>0</v>
      </c>
    </row>
    <row r="47" spans="1:90" s="113" customFormat="1" ht="16" customHeight="1">
      <c r="A47" s="554" t="s">
        <v>131</v>
      </c>
      <c r="B47" s="166" t="str">
        <f>$A$33</f>
        <v>Koloni</v>
      </c>
      <c r="C47" s="167"/>
      <c r="D47" s="167"/>
      <c r="E47" s="168">
        <f>COUNTIF(august,"Koloni")</f>
        <v>0</v>
      </c>
      <c r="F47" s="162" t="s">
        <v>70</v>
      </c>
      <c r="G47" s="625" t="s">
        <v>167</v>
      </c>
      <c r="H47" s="626">
        <f>COUNTIFS($C$5:$C$35,"fr",august,"Normal uge 2")</f>
        <v>0</v>
      </c>
      <c r="I47" s="166" t="str">
        <f>$A$33</f>
        <v>Koloni</v>
      </c>
      <c r="J47" s="167"/>
      <c r="K47" s="167"/>
      <c r="L47" s="168">
        <f>COUNTIF(september,"Koloni")</f>
        <v>0</v>
      </c>
      <c r="M47" s="162" t="s">
        <v>70</v>
      </c>
      <c r="N47" s="625" t="s">
        <v>167</v>
      </c>
      <c r="O47" s="626">
        <f>COUNTIFS($J$5:$J$34,"fr",september,"Normal uge 2")</f>
        <v>0</v>
      </c>
      <c r="P47" s="166" t="str">
        <f>$A$33</f>
        <v>Koloni</v>
      </c>
      <c r="Q47" s="167"/>
      <c r="R47" s="167"/>
      <c r="S47" s="168">
        <f>COUNTIF(oktober,"Koloni")</f>
        <v>0</v>
      </c>
      <c r="T47" s="162" t="s">
        <v>70</v>
      </c>
      <c r="U47" s="625" t="s">
        <v>167</v>
      </c>
      <c r="V47" s="626">
        <f>COUNTIFS($Q$5:$Q$35,"fr",oktober,"Normal uge 2")</f>
        <v>0</v>
      </c>
      <c r="W47" s="166" t="str">
        <f>$A$33</f>
        <v>Koloni</v>
      </c>
      <c r="X47" s="167"/>
      <c r="Y47" s="167"/>
      <c r="Z47" s="168">
        <f>COUNTIF(november,"Koloni")</f>
        <v>0</v>
      </c>
      <c r="AA47" s="162" t="s">
        <v>70</v>
      </c>
      <c r="AB47" s="625" t="s">
        <v>167</v>
      </c>
      <c r="AC47" s="626">
        <f>COUNTIFS($X$5:$X$34,"fr",november,"Normal uge 2")</f>
        <v>0</v>
      </c>
      <c r="AD47" s="166" t="str">
        <f>$A$33</f>
        <v>Koloni</v>
      </c>
      <c r="AE47" s="167"/>
      <c r="AF47" s="167"/>
      <c r="AG47" s="168">
        <f>COUNTIF(december,"Koloni")</f>
        <v>0</v>
      </c>
      <c r="AH47" s="162" t="s">
        <v>70</v>
      </c>
      <c r="AI47" s="625" t="s">
        <v>167</v>
      </c>
      <c r="AJ47" s="626">
        <f>COUNTIFS($AE$5:$AE$35,"fr",december,"Normal uge 2")</f>
        <v>0</v>
      </c>
      <c r="AK47" s="166" t="str">
        <f>$A$33</f>
        <v>Koloni</v>
      </c>
      <c r="AL47" s="167"/>
      <c r="AM47" s="167"/>
      <c r="AN47" s="168">
        <f>COUNTIF(januar,"Koloni")</f>
        <v>0</v>
      </c>
      <c r="AO47" s="162" t="s">
        <v>70</v>
      </c>
      <c r="AP47" s="625" t="s">
        <v>167</v>
      </c>
      <c r="AQ47" s="626">
        <f>COUNTIFS($AL$5:$AL$35,"fr",januar,"Normal uge 2")</f>
        <v>0</v>
      </c>
      <c r="AR47" s="166" t="str">
        <f>$A$33</f>
        <v>Koloni</v>
      </c>
      <c r="AS47" s="167"/>
      <c r="AT47" s="167"/>
      <c r="AU47" s="168">
        <f>COUNTIF(februar,"Koloni")</f>
        <v>0</v>
      </c>
      <c r="AV47" s="162" t="s">
        <v>70</v>
      </c>
      <c r="AW47" s="625" t="s">
        <v>167</v>
      </c>
      <c r="AX47" s="626">
        <f>COUNTIFS($AS$5:$AS$33,"fr",februar,"Normal uge 2")</f>
        <v>0</v>
      </c>
      <c r="AY47" s="166" t="str">
        <f>$A$33</f>
        <v>Koloni</v>
      </c>
      <c r="AZ47" s="167"/>
      <c r="BA47" s="167"/>
      <c r="BB47" s="168">
        <f>COUNTIF(marts,"Koloni")</f>
        <v>0</v>
      </c>
      <c r="BC47" s="162" t="s">
        <v>70</v>
      </c>
      <c r="BD47" s="625" t="s">
        <v>167</v>
      </c>
      <c r="BE47" s="626">
        <f>COUNTIFS($AZ$5:$AZ$35,"fr",marts,"Normal uge 2")</f>
        <v>0</v>
      </c>
      <c r="BF47" s="166" t="str">
        <f>$A$33</f>
        <v>Koloni</v>
      </c>
      <c r="BG47" s="167"/>
      <c r="BH47" s="167"/>
      <c r="BI47" s="168">
        <f>COUNTIF(april,"Koloni")</f>
        <v>0</v>
      </c>
      <c r="BJ47" s="162" t="s">
        <v>70</v>
      </c>
      <c r="BK47" s="625" t="s">
        <v>167</v>
      </c>
      <c r="BL47" s="626">
        <f>COUNTIFS($BG$5:$BG$34,"fr",april,"Normal uge 2")</f>
        <v>0</v>
      </c>
      <c r="BM47" s="166" t="str">
        <f>$A$33</f>
        <v>Koloni</v>
      </c>
      <c r="BN47" s="167"/>
      <c r="BO47" s="167"/>
      <c r="BP47" s="168">
        <f>COUNTIF(maj,"Koloni")</f>
        <v>0</v>
      </c>
      <c r="BQ47" s="162" t="s">
        <v>70</v>
      </c>
      <c r="BR47" s="625" t="s">
        <v>167</v>
      </c>
      <c r="BS47" s="626">
        <f>COUNTIFS($BN$5:$BN$35,"fr",maj,"Normal uge 2")</f>
        <v>0</v>
      </c>
      <c r="BT47" s="166" t="str">
        <f>$A$33</f>
        <v>Koloni</v>
      </c>
      <c r="BU47" s="167"/>
      <c r="BV47" s="167"/>
      <c r="BW47" s="168">
        <f>COUNTIF(juni,"Koloni")</f>
        <v>0</v>
      </c>
      <c r="BX47" s="162" t="s">
        <v>70</v>
      </c>
      <c r="BY47" s="625" t="s">
        <v>167</v>
      </c>
      <c r="BZ47" s="626">
        <f>COUNTIFS($BU$5:$BU$34,"fr",juni,"Normal uge 2")</f>
        <v>0</v>
      </c>
      <c r="CA47" s="166" t="str">
        <f>$A$33</f>
        <v>Koloni</v>
      </c>
      <c r="CB47" s="167"/>
      <c r="CC47" s="167"/>
      <c r="CD47" s="168">
        <f>COUNTIF(juli,"Koloni")</f>
        <v>0</v>
      </c>
      <c r="CE47" s="162" t="s">
        <v>70</v>
      </c>
      <c r="CF47" s="625" t="s">
        <v>167</v>
      </c>
      <c r="CG47" s="626">
        <f>COUNTIFS($CB$5:$CB$35,"fr",juli,"Normal uge 2")</f>
        <v>0</v>
      </c>
      <c r="CH47" s="161"/>
      <c r="CI47" s="631" t="str">
        <f>CF47</f>
        <v>Norm. 2 Fredag</v>
      </c>
      <c r="CJ47" s="632">
        <f>CG47+BZ47+BS47+BL47+BE47+AX47+AQ47+AJ47+AC47+V47+O47+H47</f>
        <v>0</v>
      </c>
    </row>
    <row r="48" spans="1:90" s="113" customFormat="1" ht="16" customHeight="1">
      <c r="A48" s="554" t="s">
        <v>90</v>
      </c>
      <c r="B48" s="166" t="str">
        <f>$A$34</f>
        <v>Ekskursion</v>
      </c>
      <c r="C48" s="167"/>
      <c r="D48" s="167"/>
      <c r="E48" s="168">
        <f>COUNTIF(august,"Ekskursion")</f>
        <v>0</v>
      </c>
      <c r="F48" s="162" t="s">
        <v>70</v>
      </c>
      <c r="G48" s="171"/>
      <c r="H48" s="171"/>
      <c r="I48" s="166" t="str">
        <f>$A$34</f>
        <v>Ekskursion</v>
      </c>
      <c r="J48" s="167"/>
      <c r="K48" s="167"/>
      <c r="L48" s="168">
        <f>COUNTIF(september,"Ekskursion")</f>
        <v>0</v>
      </c>
      <c r="M48" s="162" t="s">
        <v>70</v>
      </c>
      <c r="N48" s="630"/>
      <c r="O48" s="630"/>
      <c r="P48" s="166" t="str">
        <f>$A$34</f>
        <v>Ekskursion</v>
      </c>
      <c r="Q48" s="167"/>
      <c r="R48" s="167"/>
      <c r="S48" s="168">
        <f>COUNTIF(oktober,"Ekskursion")</f>
        <v>0</v>
      </c>
      <c r="T48" s="162" t="s">
        <v>70</v>
      </c>
      <c r="U48" s="171"/>
      <c r="V48" s="171"/>
      <c r="W48" s="166" t="str">
        <f>$A$34</f>
        <v>Ekskursion</v>
      </c>
      <c r="X48" s="167"/>
      <c r="Y48" s="167"/>
      <c r="Z48" s="168">
        <f>COUNTIF(november,"Ekskursion")</f>
        <v>0</v>
      </c>
      <c r="AA48" s="162" t="s">
        <v>70</v>
      </c>
      <c r="AB48" s="171"/>
      <c r="AC48" s="171"/>
      <c r="AD48" s="166" t="str">
        <f>$A$34</f>
        <v>Ekskursion</v>
      </c>
      <c r="AE48" s="167"/>
      <c r="AF48" s="167"/>
      <c r="AG48" s="168">
        <f>COUNTIF(december,"Ekskursion")</f>
        <v>0</v>
      </c>
      <c r="AH48" s="162" t="s">
        <v>70</v>
      </c>
      <c r="AI48" s="171"/>
      <c r="AJ48" s="171"/>
      <c r="AK48" s="166" t="str">
        <f>$A$34</f>
        <v>Ekskursion</v>
      </c>
      <c r="AL48" s="167"/>
      <c r="AM48" s="167"/>
      <c r="AN48" s="168">
        <f>COUNTIF(januar,"Ekskursion")</f>
        <v>0</v>
      </c>
      <c r="AO48" s="162" t="s">
        <v>70</v>
      </c>
      <c r="AP48" s="171"/>
      <c r="AQ48" s="171"/>
      <c r="AR48" s="166" t="str">
        <f>$A$34</f>
        <v>Ekskursion</v>
      </c>
      <c r="AS48" s="167"/>
      <c r="AT48" s="167"/>
      <c r="AU48" s="168">
        <f>COUNTIF(februar,"Ekskursion")</f>
        <v>0</v>
      </c>
      <c r="AV48" s="162" t="s">
        <v>70</v>
      </c>
      <c r="AW48" s="171"/>
      <c r="AX48" s="171"/>
      <c r="AY48" s="166" t="str">
        <f>$A$34</f>
        <v>Ekskursion</v>
      </c>
      <c r="AZ48" s="167"/>
      <c r="BA48" s="167"/>
      <c r="BB48" s="168">
        <f>COUNTIF(marts,"Ekskursion")</f>
        <v>0</v>
      </c>
      <c r="BC48" s="162" t="s">
        <v>70</v>
      </c>
      <c r="BD48" s="171"/>
      <c r="BE48" s="171"/>
      <c r="BF48" s="166" t="str">
        <f>$A$34</f>
        <v>Ekskursion</v>
      </c>
      <c r="BG48" s="167"/>
      <c r="BH48" s="167"/>
      <c r="BI48" s="168">
        <f>COUNTIF(april,"Ekskursion")</f>
        <v>0</v>
      </c>
      <c r="BJ48" s="162" t="s">
        <v>70</v>
      </c>
      <c r="BK48" s="171"/>
      <c r="BL48" s="171"/>
      <c r="BM48" s="166" t="str">
        <f>$A$34</f>
        <v>Ekskursion</v>
      </c>
      <c r="BN48" s="167"/>
      <c r="BO48" s="167"/>
      <c r="BP48" s="168">
        <f>COUNTIF(maj,"Ekskursion")</f>
        <v>0</v>
      </c>
      <c r="BQ48" s="162" t="s">
        <v>70</v>
      </c>
      <c r="BR48" s="171"/>
      <c r="BS48" s="171"/>
      <c r="BT48" s="166" t="str">
        <f>$A$34</f>
        <v>Ekskursion</v>
      </c>
      <c r="BU48" s="167"/>
      <c r="BV48" s="167"/>
      <c r="BW48" s="168">
        <f>COUNTIF(juni,"Ekskursion")</f>
        <v>0</v>
      </c>
      <c r="BX48" s="162" t="s">
        <v>70</v>
      </c>
      <c r="BY48" s="171"/>
      <c r="BZ48" s="171"/>
      <c r="CA48" s="166" t="str">
        <f>$A$34</f>
        <v>Ekskursion</v>
      </c>
      <c r="CB48" s="167"/>
      <c r="CC48" s="167"/>
      <c r="CD48" s="168">
        <f>COUNTIF(juli,"Ekskursion")</f>
        <v>0</v>
      </c>
      <c r="CE48" s="162" t="s">
        <v>70</v>
      </c>
      <c r="CF48" s="171"/>
      <c r="CG48" s="171"/>
      <c r="CH48" s="161"/>
      <c r="CI48" s="633"/>
      <c r="CJ48" s="633"/>
    </row>
    <row r="49" spans="1:88" s="113" customFormat="1">
      <c r="A49" s="554" t="s">
        <v>93</v>
      </c>
      <c r="B49" s="166" t="str">
        <f>$A$35</f>
        <v>Pæd.dag</v>
      </c>
      <c r="C49" s="167"/>
      <c r="D49" s="167"/>
      <c r="E49" s="168">
        <f>COUNTIF(august,"Pæd.dag")</f>
        <v>0</v>
      </c>
      <c r="F49" s="162" t="s">
        <v>70</v>
      </c>
      <c r="G49" s="627" t="s">
        <v>204</v>
      </c>
      <c r="H49" s="622">
        <f>COUNTIFS($C$5:$C$35,"ma",august,"Særlig uge 1")</f>
        <v>0</v>
      </c>
      <c r="I49" s="166" t="str">
        <f>$A$35</f>
        <v>Pæd.dag</v>
      </c>
      <c r="J49" s="167"/>
      <c r="K49" s="167"/>
      <c r="L49" s="168">
        <f>COUNTIF(september,"Pæd.dag")</f>
        <v>0</v>
      </c>
      <c r="M49" s="162" t="s">
        <v>70</v>
      </c>
      <c r="N49" s="627" t="str">
        <f>G49</f>
        <v>Sær. uge 1 Mandag</v>
      </c>
      <c r="O49" s="622">
        <f>COUNTIFS($J$5:$J$34,"ma",september,"særlig uge 1")</f>
        <v>0</v>
      </c>
      <c r="P49" s="166" t="str">
        <f>$A$35</f>
        <v>Pæd.dag</v>
      </c>
      <c r="Q49" s="167"/>
      <c r="R49" s="167"/>
      <c r="S49" s="168">
        <f>COUNTIF(oktober,"Pæd.dag")</f>
        <v>0</v>
      </c>
      <c r="T49" s="162" t="s">
        <v>70</v>
      </c>
      <c r="U49" s="497" t="str">
        <f>N49</f>
        <v>Sær. uge 1 Mandag</v>
      </c>
      <c r="V49" s="163">
        <f>COUNTIFS($Q$5:$Q$35,"ma",oktober,"særlig uge 1")</f>
        <v>0</v>
      </c>
      <c r="W49" s="166" t="str">
        <f>$A$35</f>
        <v>Pæd.dag</v>
      </c>
      <c r="X49" s="167"/>
      <c r="Y49" s="167"/>
      <c r="Z49" s="168">
        <f>COUNTIF(november,"Pæd.dag")</f>
        <v>0</v>
      </c>
      <c r="AA49" s="162" t="s">
        <v>70</v>
      </c>
      <c r="AB49" s="497" t="str">
        <f>U49</f>
        <v>Sær. uge 1 Mandag</v>
      </c>
      <c r="AC49" s="163">
        <f>COUNTIFS($X$5:$X$34,"ma",november,"særlig uge 1")</f>
        <v>0</v>
      </c>
      <c r="AD49" s="166" t="str">
        <f>$A$35</f>
        <v>Pæd.dag</v>
      </c>
      <c r="AE49" s="167"/>
      <c r="AF49" s="167"/>
      <c r="AG49" s="168">
        <f>COUNTIF(december,"Pæd.dag")</f>
        <v>0</v>
      </c>
      <c r="AH49" s="162" t="s">
        <v>70</v>
      </c>
      <c r="AI49" s="497" t="str">
        <f>AB49</f>
        <v>Sær. uge 1 Mandag</v>
      </c>
      <c r="AJ49" s="163">
        <f>COUNTIFS($AE$5:$AE$35,"ma",december,"særlig uge 1")</f>
        <v>0</v>
      </c>
      <c r="AK49" s="166" t="str">
        <f>$A$35</f>
        <v>Pæd.dag</v>
      </c>
      <c r="AL49" s="167"/>
      <c r="AM49" s="167"/>
      <c r="AN49" s="168">
        <f>COUNTIF(januar,"Pæd.dag")</f>
        <v>0</v>
      </c>
      <c r="AO49" s="162" t="s">
        <v>70</v>
      </c>
      <c r="AP49" s="497" t="str">
        <f>AI49</f>
        <v>Sær. uge 1 Mandag</v>
      </c>
      <c r="AQ49" s="163">
        <f>COUNTIFS($AL$5:$AL$35,"ma",januar,"særlig uge 1")</f>
        <v>0</v>
      </c>
      <c r="AR49" s="166" t="str">
        <f>$A$35</f>
        <v>Pæd.dag</v>
      </c>
      <c r="AS49" s="167"/>
      <c r="AT49" s="167"/>
      <c r="AU49" s="168">
        <f>COUNTIF(februar,"Pæd.dag")</f>
        <v>0</v>
      </c>
      <c r="AV49" s="162" t="s">
        <v>70</v>
      </c>
      <c r="AW49" s="497" t="str">
        <f>AP49</f>
        <v>Sær. uge 1 Mandag</v>
      </c>
      <c r="AX49" s="163">
        <f>COUNTIFS($AS$5:$AS$33,"ma",februar,"særlig uge 1")</f>
        <v>0</v>
      </c>
      <c r="AY49" s="166" t="str">
        <f>$A$35</f>
        <v>Pæd.dag</v>
      </c>
      <c r="AZ49" s="167"/>
      <c r="BA49" s="167"/>
      <c r="BB49" s="168">
        <f>COUNTIF(marts,"Pæd.dag")</f>
        <v>0</v>
      </c>
      <c r="BC49" s="162" t="s">
        <v>70</v>
      </c>
      <c r="BD49" s="497" t="str">
        <f>AW49</f>
        <v>Sær. uge 1 Mandag</v>
      </c>
      <c r="BE49" s="163">
        <f>COUNTIFS($AZ$5:$AZ$35,"ma",marts,"særlig uge 1")</f>
        <v>0</v>
      </c>
      <c r="BF49" s="166" t="str">
        <f>$A$35</f>
        <v>Pæd.dag</v>
      </c>
      <c r="BG49" s="167"/>
      <c r="BH49" s="167"/>
      <c r="BI49" s="168">
        <f>COUNTIF(april,"Pæd.dag")</f>
        <v>0</v>
      </c>
      <c r="BJ49" s="162" t="s">
        <v>70</v>
      </c>
      <c r="BK49" s="497" t="str">
        <f>BD49</f>
        <v>Sær. uge 1 Mandag</v>
      </c>
      <c r="BL49" s="163">
        <f>COUNTIFS($BG$5:$BG$34,"ma",april,"særlig uge 1")</f>
        <v>0</v>
      </c>
      <c r="BM49" s="166" t="str">
        <f>$A$35</f>
        <v>Pæd.dag</v>
      </c>
      <c r="BN49" s="167"/>
      <c r="BO49" s="167"/>
      <c r="BP49" s="168">
        <f>COUNTIF(maj,"Pæd.dag")</f>
        <v>0</v>
      </c>
      <c r="BQ49" s="162" t="s">
        <v>70</v>
      </c>
      <c r="BR49" s="497" t="str">
        <f>BK49</f>
        <v>Sær. uge 1 Mandag</v>
      </c>
      <c r="BS49" s="163">
        <f>COUNTIFS($BN$5:$BN$35,"ma",maj,"særlig uge 1")</f>
        <v>0</v>
      </c>
      <c r="BT49" s="166" t="str">
        <f>$A$35</f>
        <v>Pæd.dag</v>
      </c>
      <c r="BU49" s="167"/>
      <c r="BV49" s="167"/>
      <c r="BW49" s="168">
        <f>COUNTIF(juni,"Pæd.dag")</f>
        <v>0</v>
      </c>
      <c r="BX49" s="162" t="s">
        <v>70</v>
      </c>
      <c r="BY49" s="497" t="str">
        <f>BR49</f>
        <v>Sær. uge 1 Mandag</v>
      </c>
      <c r="BZ49" s="163">
        <f>COUNTIFS($BU$5:$BU$34,"ma",juni,"særlig uge 1")</f>
        <v>0</v>
      </c>
      <c r="CA49" s="166" t="str">
        <f>$A$35</f>
        <v>Pæd.dag</v>
      </c>
      <c r="CB49" s="167"/>
      <c r="CC49" s="167"/>
      <c r="CD49" s="168">
        <f>COUNTIF(juli,"Pæd.dag")</f>
        <v>0</v>
      </c>
      <c r="CE49" s="162" t="s">
        <v>70</v>
      </c>
      <c r="CF49" s="497" t="str">
        <f>BY49</f>
        <v>Sær. uge 1 Mandag</v>
      </c>
      <c r="CG49" s="163">
        <f>COUNTIFS($CB$5:$CB$35,"ma",juli,"særlig uge 1")</f>
        <v>0</v>
      </c>
      <c r="CH49" s="172"/>
      <c r="CI49" s="631" t="str">
        <f>CF49</f>
        <v>Sær. uge 1 Mandag</v>
      </c>
      <c r="CJ49" s="632">
        <f>CG49+BZ49+BS49+BL49+BE49+AX49+AQ49+AJ49+AC49+V49+O49+H49</f>
        <v>0</v>
      </c>
    </row>
    <row r="50" spans="1:88" s="113" customFormat="1">
      <c r="A50" s="554" t="s">
        <v>92</v>
      </c>
      <c r="B50" s="166" t="str">
        <f>$A$36</f>
        <v>Weekend</v>
      </c>
      <c r="C50" s="167"/>
      <c r="D50" s="167"/>
      <c r="E50" s="168">
        <f>COUNTIF(august,"Weekend")</f>
        <v>8</v>
      </c>
      <c r="F50" s="162" t="s">
        <v>82</v>
      </c>
      <c r="G50" s="628" t="s">
        <v>205</v>
      </c>
      <c r="H50" s="624">
        <f>COUNTIFS($C$5:$C$35,"ti",august,"særlig uge 1")</f>
        <v>0</v>
      </c>
      <c r="I50" s="166" t="str">
        <f>$A$36</f>
        <v>Weekend</v>
      </c>
      <c r="J50" s="167"/>
      <c r="K50" s="167"/>
      <c r="L50" s="168">
        <f>COUNTIF(september,"Weekend")</f>
        <v>8</v>
      </c>
      <c r="M50" s="162" t="s">
        <v>82</v>
      </c>
      <c r="N50" s="627" t="str">
        <f t="shared" ref="N50:N53" si="43">G50</f>
        <v>Sær. uge 1 Tirsdag</v>
      </c>
      <c r="O50" s="624">
        <f>COUNTIFS($J$5:$J$34,"ti",september,"særlig uge 1")</f>
        <v>0</v>
      </c>
      <c r="P50" s="166" t="str">
        <f>$A$36</f>
        <v>Weekend</v>
      </c>
      <c r="Q50" s="167"/>
      <c r="R50" s="167"/>
      <c r="S50" s="168">
        <f>COUNTIF(oktober,"Weekend")</f>
        <v>10</v>
      </c>
      <c r="T50" s="162" t="s">
        <v>82</v>
      </c>
      <c r="U50" s="498" t="str">
        <f t="shared" ref="U50:U53" si="44">N50</f>
        <v>Sær. uge 1 Tirsdag</v>
      </c>
      <c r="V50" s="168">
        <f>COUNTIFS($Q$5:$Q$35,"ti",oktober,"særlig uge 1")</f>
        <v>0</v>
      </c>
      <c r="W50" s="166" t="str">
        <f>$A$36</f>
        <v>Weekend</v>
      </c>
      <c r="X50" s="167"/>
      <c r="Y50" s="167"/>
      <c r="Z50" s="168">
        <f>COUNTIF(november,"Weekend")</f>
        <v>8</v>
      </c>
      <c r="AA50" s="162" t="s">
        <v>82</v>
      </c>
      <c r="AB50" s="498" t="str">
        <f t="shared" ref="AB50:AB53" si="45">U50</f>
        <v>Sær. uge 1 Tirsdag</v>
      </c>
      <c r="AC50" s="168">
        <f>COUNTIFS($X$5:$X$34,"ti",november,"særlig uge 1")</f>
        <v>0</v>
      </c>
      <c r="AD50" s="166" t="str">
        <f>$A$36</f>
        <v>Weekend</v>
      </c>
      <c r="AE50" s="167"/>
      <c r="AF50" s="167"/>
      <c r="AG50" s="168">
        <f>COUNTIF(december,"Weekend")</f>
        <v>9</v>
      </c>
      <c r="AH50" s="162" t="s">
        <v>82</v>
      </c>
      <c r="AI50" s="498" t="str">
        <f t="shared" ref="AI50:AI53" si="46">AB50</f>
        <v>Sær. uge 1 Tirsdag</v>
      </c>
      <c r="AJ50" s="168">
        <f>COUNTIFS($AE$5:$AE$35,"ti",december,"særlig uge 1")</f>
        <v>0</v>
      </c>
      <c r="AK50" s="166" t="str">
        <f>$A$36</f>
        <v>Weekend</v>
      </c>
      <c r="AL50" s="167"/>
      <c r="AM50" s="167"/>
      <c r="AN50" s="168">
        <f>COUNTIF(januar,"Weekend")</f>
        <v>9</v>
      </c>
      <c r="AO50" s="162" t="s">
        <v>82</v>
      </c>
      <c r="AP50" s="498" t="str">
        <f t="shared" ref="AP50:AP53" si="47">AI50</f>
        <v>Sær. uge 1 Tirsdag</v>
      </c>
      <c r="AQ50" s="168">
        <f>COUNTIFS($AL$5:$AL$35,"ti",januar,"særlig uge 1")</f>
        <v>0</v>
      </c>
      <c r="AR50" s="166" t="str">
        <f>$A$36</f>
        <v>Weekend</v>
      </c>
      <c r="AS50" s="167"/>
      <c r="AT50" s="167"/>
      <c r="AU50" s="168">
        <f>COUNTIF(februar,"Weekend")</f>
        <v>8</v>
      </c>
      <c r="AV50" s="162" t="s">
        <v>82</v>
      </c>
      <c r="AW50" s="498" t="str">
        <f t="shared" ref="AW50:AW53" si="48">AP50</f>
        <v>Sær. uge 1 Tirsdag</v>
      </c>
      <c r="AX50" s="168">
        <f>COUNTIFS($AS$5:$AS$33,"ti",februar,"særlig uge 1")</f>
        <v>0</v>
      </c>
      <c r="AY50" s="166" t="str">
        <f>$A$36</f>
        <v>Weekend</v>
      </c>
      <c r="AZ50" s="167"/>
      <c r="BA50" s="167"/>
      <c r="BB50" s="168">
        <f>COUNTIF(marts,"Weekend")</f>
        <v>8</v>
      </c>
      <c r="BC50" s="162" t="s">
        <v>82</v>
      </c>
      <c r="BD50" s="498" t="str">
        <f t="shared" ref="BD50:BD53" si="49">AW50</f>
        <v>Sær. uge 1 Tirsdag</v>
      </c>
      <c r="BE50" s="168">
        <f>COUNTIFS($AZ$5:$AZ$35,"ti",marts,"særlig uge 1")</f>
        <v>0</v>
      </c>
      <c r="BF50" s="166" t="str">
        <f>$A$36</f>
        <v>Weekend</v>
      </c>
      <c r="BG50" s="167"/>
      <c r="BH50" s="167"/>
      <c r="BI50" s="168">
        <f>COUNTIF(april,"Weekend")</f>
        <v>10</v>
      </c>
      <c r="BJ50" s="162" t="s">
        <v>82</v>
      </c>
      <c r="BK50" s="498" t="str">
        <f t="shared" ref="BK50:BK53" si="50">BD50</f>
        <v>Sær. uge 1 Tirsdag</v>
      </c>
      <c r="BL50" s="168">
        <f>COUNTIFS($BG$5:$BG$34,"ti",april,"særlig uge 1")</f>
        <v>0</v>
      </c>
      <c r="BM50" s="166" t="str">
        <f>$A$36</f>
        <v>Weekend</v>
      </c>
      <c r="BN50" s="167"/>
      <c r="BO50" s="167"/>
      <c r="BP50" s="168">
        <f>COUNTIF(maj,"Weekend")</f>
        <v>8</v>
      </c>
      <c r="BQ50" s="162" t="s">
        <v>82</v>
      </c>
      <c r="BR50" s="498" t="str">
        <f t="shared" ref="BR50:BR53" si="51">BK50</f>
        <v>Sær. uge 1 Tirsdag</v>
      </c>
      <c r="BS50" s="168">
        <f>COUNTIFS($BN$5:$BN$35,"ti",maj,"særlig uge 1")</f>
        <v>0</v>
      </c>
      <c r="BT50" s="166" t="str">
        <f>$A$36</f>
        <v>Weekend</v>
      </c>
      <c r="BU50" s="167"/>
      <c r="BV50" s="167"/>
      <c r="BW50" s="168">
        <f>COUNTIF(juni,"Weekend")</f>
        <v>8</v>
      </c>
      <c r="BX50" s="162" t="s">
        <v>82</v>
      </c>
      <c r="BY50" s="498" t="str">
        <f t="shared" ref="BY50:BY53" si="52">BR50</f>
        <v>Sær. uge 1 Tirsdag</v>
      </c>
      <c r="BZ50" s="168">
        <f>COUNTIFS($BU$5:$BU$34,"ti",juni,"særlig uge 1")</f>
        <v>0</v>
      </c>
      <c r="CA50" s="166" t="str">
        <f>$A$36</f>
        <v>Weekend</v>
      </c>
      <c r="CB50" s="167"/>
      <c r="CC50" s="167"/>
      <c r="CD50" s="168">
        <f>COUNTIF(juli,"Weekend")</f>
        <v>10</v>
      </c>
      <c r="CE50" s="162" t="s">
        <v>82</v>
      </c>
      <c r="CF50" s="498" t="str">
        <f t="shared" ref="CF50:CF53" si="53">BY50</f>
        <v>Sær. uge 1 Tirsdag</v>
      </c>
      <c r="CG50" s="168">
        <f>COUNTIFS($CB$5:$CB$35,"ti",juli,"særlig uge 1")</f>
        <v>0</v>
      </c>
      <c r="CH50" s="172"/>
      <c r="CI50" s="634" t="str">
        <f>CF50</f>
        <v>Sær. uge 1 Tirsdag</v>
      </c>
      <c r="CJ50" s="635">
        <f>CG50+BZ50+BS50+BL50+BE50+AX50+AQ50+AJ50+AC50+V50+O50+H50</f>
        <v>0</v>
      </c>
    </row>
    <row r="51" spans="1:88" s="113" customFormat="1">
      <c r="A51" s="554" t="s">
        <v>91</v>
      </c>
      <c r="B51" s="166" t="str">
        <f>$A$37</f>
        <v>SH-dag</v>
      </c>
      <c r="C51" s="167"/>
      <c r="D51" s="167"/>
      <c r="E51" s="168">
        <f>COUNTIF(august,"SH-dag")</f>
        <v>0</v>
      </c>
      <c r="F51" s="162" t="s">
        <v>82</v>
      </c>
      <c r="G51" s="628" t="s">
        <v>206</v>
      </c>
      <c r="H51" s="624">
        <f>COUNTIFS($C$5:$C$35,"on",august,"særlig uge 1")</f>
        <v>0</v>
      </c>
      <c r="I51" s="166" t="str">
        <f>$A$37</f>
        <v>SH-dag</v>
      </c>
      <c r="J51" s="167"/>
      <c r="K51" s="167"/>
      <c r="L51" s="168">
        <f>COUNTIF(september,"SH-dag")</f>
        <v>0</v>
      </c>
      <c r="M51" s="162" t="s">
        <v>82</v>
      </c>
      <c r="N51" s="627" t="str">
        <f t="shared" si="43"/>
        <v>Sær. uge 1 Onsdag</v>
      </c>
      <c r="O51" s="624">
        <f>COUNTIFS($J$5:$J$34,"on",september,"særlig uge 1")</f>
        <v>0</v>
      </c>
      <c r="P51" s="166" t="str">
        <f>$A$37</f>
        <v>SH-dag</v>
      </c>
      <c r="Q51" s="167"/>
      <c r="R51" s="167"/>
      <c r="S51" s="168">
        <f>COUNTIF(oktober,"SH-dag")</f>
        <v>0</v>
      </c>
      <c r="T51" s="162" t="s">
        <v>82</v>
      </c>
      <c r="U51" s="498" t="str">
        <f t="shared" si="44"/>
        <v>Sær. uge 1 Onsdag</v>
      </c>
      <c r="V51" s="168">
        <f>COUNTIFS($Q$5:$Q$35,"on",oktober,"særlig uge 1")</f>
        <v>0</v>
      </c>
      <c r="W51" s="166" t="str">
        <f>$A$37</f>
        <v>SH-dag</v>
      </c>
      <c r="X51" s="167"/>
      <c r="Y51" s="167"/>
      <c r="Z51" s="168">
        <f>COUNTIF(november,"SH-dag")</f>
        <v>0</v>
      </c>
      <c r="AA51" s="162" t="s">
        <v>82</v>
      </c>
      <c r="AB51" s="498" t="str">
        <f t="shared" si="45"/>
        <v>Sær. uge 1 Onsdag</v>
      </c>
      <c r="AC51" s="168">
        <f>COUNTIFS($X$5:$X$34,"on",november,"særlig uge 1")</f>
        <v>0</v>
      </c>
      <c r="AD51" s="166" t="str">
        <f>$A$37</f>
        <v>SH-dag</v>
      </c>
      <c r="AE51" s="167"/>
      <c r="AF51" s="167"/>
      <c r="AG51" s="168">
        <f>COUNTIF(december,"SH-dag")</f>
        <v>1</v>
      </c>
      <c r="AH51" s="162" t="s">
        <v>82</v>
      </c>
      <c r="AI51" s="498" t="str">
        <f t="shared" si="46"/>
        <v>Sær. uge 1 Onsdag</v>
      </c>
      <c r="AJ51" s="168">
        <f>COUNTIFS($AE$5:$AE$35,"on",december,"særlig uge 1")</f>
        <v>0</v>
      </c>
      <c r="AK51" s="166" t="str">
        <f>$A$37</f>
        <v>SH-dag</v>
      </c>
      <c r="AL51" s="167"/>
      <c r="AM51" s="167"/>
      <c r="AN51" s="168">
        <f>COUNTIF(januar,"SH-dag")</f>
        <v>0</v>
      </c>
      <c r="AO51" s="162" t="s">
        <v>82</v>
      </c>
      <c r="AP51" s="498" t="str">
        <f t="shared" si="47"/>
        <v>Sær. uge 1 Onsdag</v>
      </c>
      <c r="AQ51" s="168">
        <f>COUNTIFS($AL$5:$AL$35,"on",januar,"særlig uge 1")</f>
        <v>0</v>
      </c>
      <c r="AR51" s="166" t="str">
        <f>$A$37</f>
        <v>SH-dag</v>
      </c>
      <c r="AS51" s="167"/>
      <c r="AT51" s="167"/>
      <c r="AU51" s="168">
        <f>COUNTIF(februar,"SH-dag")</f>
        <v>0</v>
      </c>
      <c r="AV51" s="162" t="s">
        <v>82</v>
      </c>
      <c r="AW51" s="498" t="str">
        <f t="shared" si="48"/>
        <v>Sær. uge 1 Onsdag</v>
      </c>
      <c r="AX51" s="168">
        <f>COUNTIFS($AS$5:$AS$33,"on",februar,"særlig uge 1")</f>
        <v>0</v>
      </c>
      <c r="AY51" s="166" t="str">
        <f>$A$37</f>
        <v>SH-dag</v>
      </c>
      <c r="AZ51" s="167"/>
      <c r="BA51" s="167"/>
      <c r="BB51" s="168">
        <f>COUNTIF(marts,"SH-dag")</f>
        <v>0</v>
      </c>
      <c r="BC51" s="162" t="s">
        <v>82</v>
      </c>
      <c r="BD51" s="498" t="str">
        <f t="shared" si="49"/>
        <v>Sær. uge 1 Onsdag</v>
      </c>
      <c r="BE51" s="168">
        <f>COUNTIFS($AZ$5:$AZ$35,"on",marts,"særlig uge 1")</f>
        <v>0</v>
      </c>
      <c r="BF51" s="166" t="str">
        <f>$A$37</f>
        <v>SH-dag</v>
      </c>
      <c r="BG51" s="167"/>
      <c r="BH51" s="167"/>
      <c r="BI51" s="168">
        <f>COUNTIF(april,"SH-dag")</f>
        <v>3</v>
      </c>
      <c r="BJ51" s="162" t="s">
        <v>82</v>
      </c>
      <c r="BK51" s="498" t="str">
        <f t="shared" si="50"/>
        <v>Sær. uge 1 Onsdag</v>
      </c>
      <c r="BL51" s="168">
        <f>COUNTIFS($BG$5:$BG$34,"on",april,"særlig uge 1")</f>
        <v>0</v>
      </c>
      <c r="BM51" s="166" t="str">
        <f>$A$37</f>
        <v>SH-dag</v>
      </c>
      <c r="BN51" s="167"/>
      <c r="BO51" s="167"/>
      <c r="BP51" s="168">
        <f>COUNTIF(maj,"SH-dag")</f>
        <v>3</v>
      </c>
      <c r="BQ51" s="162" t="s">
        <v>82</v>
      </c>
      <c r="BR51" s="498" t="str">
        <f t="shared" si="51"/>
        <v>Sær. uge 1 Onsdag</v>
      </c>
      <c r="BS51" s="168">
        <f>COUNTIFS($BN$5:$BN$35,"on",maj,"særlig uge 1")</f>
        <v>0</v>
      </c>
      <c r="BT51" s="166" t="str">
        <f>$A$37</f>
        <v>SH-dag</v>
      </c>
      <c r="BU51" s="167"/>
      <c r="BV51" s="167"/>
      <c r="BW51" s="168">
        <f>COUNTIF(juni,"SH-dag")</f>
        <v>0</v>
      </c>
      <c r="BX51" s="162" t="s">
        <v>82</v>
      </c>
      <c r="BY51" s="498" t="str">
        <f t="shared" si="52"/>
        <v>Sær. uge 1 Onsdag</v>
      </c>
      <c r="BZ51" s="168">
        <f>COUNTIFS($BU$5:$BU$34,"on",juni,"særlig uge 1")</f>
        <v>0</v>
      </c>
      <c r="CA51" s="166" t="str">
        <f>$A$37</f>
        <v>SH-dag</v>
      </c>
      <c r="CB51" s="167"/>
      <c r="CC51" s="167"/>
      <c r="CD51" s="168">
        <f>COUNTIF(juli,"SH-dag")</f>
        <v>0</v>
      </c>
      <c r="CE51" s="162" t="s">
        <v>82</v>
      </c>
      <c r="CF51" s="498" t="str">
        <f t="shared" si="53"/>
        <v>Sær. uge 1 Onsdag</v>
      </c>
      <c r="CG51" s="168">
        <f>COUNTIFS($CB$5:$CB$35,"on",juli,"særlig uge 1")</f>
        <v>0</v>
      </c>
      <c r="CH51" s="115"/>
      <c r="CI51" s="634" t="str">
        <f>CF51</f>
        <v>Sær. uge 1 Onsdag</v>
      </c>
      <c r="CJ51" s="635">
        <f>CG51+BZ51+BS51+BL51+BE51+AX51+AQ51+AJ51+AC51+V51+O51+H51</f>
        <v>0</v>
      </c>
    </row>
    <row r="52" spans="1:88" s="113" customFormat="1">
      <c r="A52" s="554" t="s">
        <v>196</v>
      </c>
      <c r="B52" s="166" t="str">
        <f>$A$38</f>
        <v>Feriedag</v>
      </c>
      <c r="C52" s="167"/>
      <c r="D52" s="167"/>
      <c r="E52" s="168">
        <f>COUNTIF(august,"Feriedag")</f>
        <v>0</v>
      </c>
      <c r="F52" s="162" t="s">
        <v>80</v>
      </c>
      <c r="G52" s="628" t="s">
        <v>207</v>
      </c>
      <c r="H52" s="624">
        <f>COUNTIFS($C$5:$C$35,"to",august,"særlig uge 1")</f>
        <v>0</v>
      </c>
      <c r="I52" s="166" t="str">
        <f>$A$38</f>
        <v>Feriedag</v>
      </c>
      <c r="J52" s="167"/>
      <c r="K52" s="167"/>
      <c r="L52" s="168">
        <f>COUNTIF(september,"Feriedag")</f>
        <v>0</v>
      </c>
      <c r="M52" s="162" t="s">
        <v>80</v>
      </c>
      <c r="N52" s="627" t="str">
        <f t="shared" si="43"/>
        <v>Sær. uge 1 Torsdag</v>
      </c>
      <c r="O52" s="624">
        <f>COUNTIFS($J$5:$J$34,"to",september,"særlig uge 1")</f>
        <v>0</v>
      </c>
      <c r="P52" s="166" t="str">
        <f>$A$38</f>
        <v>Feriedag</v>
      </c>
      <c r="Q52" s="167"/>
      <c r="R52" s="167"/>
      <c r="S52" s="168">
        <f>COUNTIF(oktober,"Feriedag")</f>
        <v>0</v>
      </c>
      <c r="T52" s="162" t="s">
        <v>80</v>
      </c>
      <c r="U52" s="498" t="str">
        <f t="shared" si="44"/>
        <v>Sær. uge 1 Torsdag</v>
      </c>
      <c r="V52" s="168">
        <f>COUNTIFS($Q$5:$Q$35,"to",oktober,"særlig uge 1")</f>
        <v>0</v>
      </c>
      <c r="W52" s="166" t="str">
        <f>$A$38</f>
        <v>Feriedag</v>
      </c>
      <c r="X52" s="167"/>
      <c r="Y52" s="167"/>
      <c r="Z52" s="168">
        <f>COUNTIF(november,"Feriedag")</f>
        <v>0</v>
      </c>
      <c r="AA52" s="162" t="s">
        <v>80</v>
      </c>
      <c r="AB52" s="498" t="str">
        <f t="shared" si="45"/>
        <v>Sær. uge 1 Torsdag</v>
      </c>
      <c r="AC52" s="168">
        <f>COUNTIFS($X$5:$X$34,"to",november,"særlig uge 1")</f>
        <v>0</v>
      </c>
      <c r="AD52" s="166" t="str">
        <f>$A$38</f>
        <v>Feriedag</v>
      </c>
      <c r="AE52" s="167"/>
      <c r="AF52" s="167"/>
      <c r="AG52" s="168">
        <f>COUNTIF(december,"Feriedag")</f>
        <v>0</v>
      </c>
      <c r="AH52" s="162" t="s">
        <v>80</v>
      </c>
      <c r="AI52" s="498" t="str">
        <f t="shared" si="46"/>
        <v>Sær. uge 1 Torsdag</v>
      </c>
      <c r="AJ52" s="168">
        <f>COUNTIFS($AE$5:$AE$35,"to",december,"særlig uge 1")</f>
        <v>0</v>
      </c>
      <c r="AK52" s="166" t="str">
        <f>$A$38</f>
        <v>Feriedag</v>
      </c>
      <c r="AL52" s="167"/>
      <c r="AM52" s="167"/>
      <c r="AN52" s="168">
        <f>COUNTIF(januar,"Feriedag")</f>
        <v>0</v>
      </c>
      <c r="AO52" s="162" t="s">
        <v>80</v>
      </c>
      <c r="AP52" s="498" t="str">
        <f t="shared" si="47"/>
        <v>Sær. uge 1 Torsdag</v>
      </c>
      <c r="AQ52" s="168">
        <f>COUNTIFS($AL$5:$AL$35,"to",januar,"særlig uge 1")</f>
        <v>0</v>
      </c>
      <c r="AR52" s="166" t="str">
        <f>$A$38</f>
        <v>Feriedag</v>
      </c>
      <c r="AS52" s="167"/>
      <c r="AT52" s="167"/>
      <c r="AU52" s="168">
        <f>COUNTIF(februar,"Feriedag")</f>
        <v>0</v>
      </c>
      <c r="AV52" s="162" t="s">
        <v>80</v>
      </c>
      <c r="AW52" s="498" t="str">
        <f t="shared" si="48"/>
        <v>Sær. uge 1 Torsdag</v>
      </c>
      <c r="AX52" s="168">
        <f>COUNTIFS($AS$5:$AS$33,"to",februar,"særlig uge 1")</f>
        <v>0</v>
      </c>
      <c r="AY52" s="166" t="str">
        <f>$A$38</f>
        <v>Feriedag</v>
      </c>
      <c r="AZ52" s="167"/>
      <c r="BA52" s="167"/>
      <c r="BB52" s="168">
        <f>COUNTIF(marts,"Feriedag")</f>
        <v>0</v>
      </c>
      <c r="BC52" s="162" t="s">
        <v>80</v>
      </c>
      <c r="BD52" s="498" t="str">
        <f t="shared" si="49"/>
        <v>Sær. uge 1 Torsdag</v>
      </c>
      <c r="BE52" s="168">
        <f>COUNTIFS($AZ$5:$AZ$35,"to",marts,"særlig uge 1")</f>
        <v>0</v>
      </c>
      <c r="BF52" s="166" t="str">
        <f>$A$38</f>
        <v>Feriedag</v>
      </c>
      <c r="BG52" s="167"/>
      <c r="BH52" s="167"/>
      <c r="BI52" s="168">
        <f>COUNTIF(april,"Feriedag")</f>
        <v>0</v>
      </c>
      <c r="BJ52" s="162" t="s">
        <v>80</v>
      </c>
      <c r="BK52" s="498" t="str">
        <f t="shared" si="50"/>
        <v>Sær. uge 1 Torsdag</v>
      </c>
      <c r="BL52" s="168">
        <f>COUNTIFS($BG$5:$BG$34,"to",april,"særlig uge 1")</f>
        <v>0</v>
      </c>
      <c r="BM52" s="166" t="str">
        <f>$A$38</f>
        <v>Feriedag</v>
      </c>
      <c r="BN52" s="167"/>
      <c r="BO52" s="167"/>
      <c r="BP52" s="168">
        <f>COUNTIF(maj,"Feriedag")</f>
        <v>0</v>
      </c>
      <c r="BQ52" s="162" t="s">
        <v>80</v>
      </c>
      <c r="BR52" s="498" t="str">
        <f t="shared" si="51"/>
        <v>Sær. uge 1 Torsdag</v>
      </c>
      <c r="BS52" s="168">
        <f>COUNTIFS($BN$5:$BN$35,"to",maj,"særlig uge 1")</f>
        <v>0</v>
      </c>
      <c r="BT52" s="166" t="str">
        <f>$A$38</f>
        <v>Feriedag</v>
      </c>
      <c r="BU52" s="167"/>
      <c r="BV52" s="167"/>
      <c r="BW52" s="168">
        <f>COUNTIF(juni,"Feriedag")</f>
        <v>0</v>
      </c>
      <c r="BX52" s="162" t="s">
        <v>80</v>
      </c>
      <c r="BY52" s="498" t="str">
        <f t="shared" si="52"/>
        <v>Sær. uge 1 Torsdag</v>
      </c>
      <c r="BZ52" s="168">
        <f>COUNTIFS($BU$5:$BU$34,"to",juni,"særlig uge 1")</f>
        <v>0</v>
      </c>
      <c r="CA52" s="166" t="str">
        <f>$A$38</f>
        <v>Feriedag</v>
      </c>
      <c r="CB52" s="167"/>
      <c r="CC52" s="167"/>
      <c r="CD52" s="168">
        <f>COUNTIF(juli,"Feriedag")</f>
        <v>0</v>
      </c>
      <c r="CE52" s="162" t="s">
        <v>80</v>
      </c>
      <c r="CF52" s="498" t="str">
        <f t="shared" si="53"/>
        <v>Sær. uge 1 Torsdag</v>
      </c>
      <c r="CG52" s="168">
        <f>COUNTIFS($CB$5:$CB$35,"to",juli,"særlig uge 1")</f>
        <v>0</v>
      </c>
      <c r="CH52" s="176"/>
      <c r="CI52" s="634" t="str">
        <f>CF52</f>
        <v>Sær. uge 1 Torsdag</v>
      </c>
      <c r="CJ52" s="635">
        <f>CG52+BZ52+BS52+BL52+BE52+AX52+AQ52+AJ52+AC52+V52+O52+H52</f>
        <v>0</v>
      </c>
    </row>
    <row r="53" spans="1:88" s="113" customFormat="1" ht="15" customHeight="1">
      <c r="A53" s="554" t="s">
        <v>197</v>
      </c>
      <c r="B53" s="166" t="str">
        <f>$A$39</f>
        <v>Nul-dag</v>
      </c>
      <c r="C53" s="167"/>
      <c r="D53" s="167"/>
      <c r="E53" s="168">
        <f>COUNTIF(august,"Nul-dag")</f>
        <v>0</v>
      </c>
      <c r="F53" s="162" t="s">
        <v>83</v>
      </c>
      <c r="G53" s="629" t="s">
        <v>208</v>
      </c>
      <c r="H53" s="626">
        <f>COUNTIFS($C$5:$C$35,"fr",august,"særlig uge 1")</f>
        <v>0</v>
      </c>
      <c r="I53" s="166" t="str">
        <f>$A$39</f>
        <v>Nul-dag</v>
      </c>
      <c r="J53" s="167"/>
      <c r="K53" s="167"/>
      <c r="L53" s="168">
        <f>COUNTIF(september,"Nul-dag")</f>
        <v>0</v>
      </c>
      <c r="M53" s="162" t="s">
        <v>83</v>
      </c>
      <c r="N53" s="627" t="str">
        <f t="shared" si="43"/>
        <v>Sær. uge 1 Fredag</v>
      </c>
      <c r="O53" s="626">
        <f>COUNTIFS($J$5:$J$34,"fr",september,"særlig uge 1")</f>
        <v>0</v>
      </c>
      <c r="P53" s="166" t="str">
        <f>$A$39</f>
        <v>Nul-dag</v>
      </c>
      <c r="Q53" s="167"/>
      <c r="R53" s="167"/>
      <c r="S53" s="168">
        <f>COUNTIF(oktober,"Nul-dag")</f>
        <v>0</v>
      </c>
      <c r="T53" s="162" t="s">
        <v>83</v>
      </c>
      <c r="U53" s="499" t="str">
        <f t="shared" si="44"/>
        <v>Sær. uge 1 Fredag</v>
      </c>
      <c r="V53" s="170">
        <f>COUNTIFS($Q$5:$Q$35,"fr",oktober,"særlig uge 1")</f>
        <v>0</v>
      </c>
      <c r="W53" s="166" t="str">
        <f>$A$39</f>
        <v>Nul-dag</v>
      </c>
      <c r="X53" s="167"/>
      <c r="Y53" s="167"/>
      <c r="Z53" s="168">
        <f>COUNTIF(november,"Nul-dag")</f>
        <v>0</v>
      </c>
      <c r="AA53" s="162" t="s">
        <v>83</v>
      </c>
      <c r="AB53" s="499" t="str">
        <f t="shared" si="45"/>
        <v>Sær. uge 1 Fredag</v>
      </c>
      <c r="AC53" s="170">
        <f>COUNTIFS($X$5:$X$34,"fr",november,"særlig uge 1")</f>
        <v>0</v>
      </c>
      <c r="AD53" s="166" t="str">
        <f>$A$39</f>
        <v>Nul-dag</v>
      </c>
      <c r="AE53" s="167"/>
      <c r="AF53" s="167"/>
      <c r="AG53" s="168">
        <f>COUNTIF(december,"Nul-dag")</f>
        <v>0</v>
      </c>
      <c r="AH53" s="162" t="s">
        <v>83</v>
      </c>
      <c r="AI53" s="499" t="str">
        <f t="shared" si="46"/>
        <v>Sær. uge 1 Fredag</v>
      </c>
      <c r="AJ53" s="170">
        <f>COUNTIFS($AE$5:$AE$35,"fr",december,"særlig uge 1")</f>
        <v>0</v>
      </c>
      <c r="AK53" s="166" t="str">
        <f>$A$39</f>
        <v>Nul-dag</v>
      </c>
      <c r="AL53" s="167"/>
      <c r="AM53" s="167"/>
      <c r="AN53" s="168">
        <f>COUNTIF(januar,"Nul-dag")</f>
        <v>0</v>
      </c>
      <c r="AO53" s="162" t="s">
        <v>83</v>
      </c>
      <c r="AP53" s="499" t="str">
        <f t="shared" si="47"/>
        <v>Sær. uge 1 Fredag</v>
      </c>
      <c r="AQ53" s="170">
        <f>COUNTIFS($AL$5:$AL$35,"fr",januar,"særlig uge 1")</f>
        <v>0</v>
      </c>
      <c r="AR53" s="166" t="str">
        <f>$A$39</f>
        <v>Nul-dag</v>
      </c>
      <c r="AS53" s="167"/>
      <c r="AT53" s="167"/>
      <c r="AU53" s="168">
        <f>COUNTIF(februar,"Nul-dag")</f>
        <v>0</v>
      </c>
      <c r="AV53" s="162" t="s">
        <v>83</v>
      </c>
      <c r="AW53" s="499" t="str">
        <f t="shared" si="48"/>
        <v>Sær. uge 1 Fredag</v>
      </c>
      <c r="AX53" s="170">
        <f>COUNTIFS($AS$5:$AS$33,"fr",februar,"særlig uge 1")</f>
        <v>0</v>
      </c>
      <c r="AY53" s="166" t="str">
        <f>$A$39</f>
        <v>Nul-dag</v>
      </c>
      <c r="AZ53" s="167"/>
      <c r="BA53" s="167"/>
      <c r="BB53" s="168">
        <f>COUNTIF(marts,"Nul-dag")</f>
        <v>0</v>
      </c>
      <c r="BC53" s="162" t="s">
        <v>83</v>
      </c>
      <c r="BD53" s="499" t="str">
        <f t="shared" si="49"/>
        <v>Sær. uge 1 Fredag</v>
      </c>
      <c r="BE53" s="170">
        <f>COUNTIFS($AZ$5:$AZ$35,"fr",marts,"særlig uge 1")</f>
        <v>0</v>
      </c>
      <c r="BF53" s="166" t="str">
        <f>$A$39</f>
        <v>Nul-dag</v>
      </c>
      <c r="BG53" s="167"/>
      <c r="BH53" s="167"/>
      <c r="BI53" s="168">
        <f>COUNTIF(april,"Nul-dag")</f>
        <v>0</v>
      </c>
      <c r="BJ53" s="162" t="s">
        <v>83</v>
      </c>
      <c r="BK53" s="499" t="str">
        <f t="shared" si="50"/>
        <v>Sær. uge 1 Fredag</v>
      </c>
      <c r="BL53" s="170">
        <f>COUNTIFS($BG$5:$BG$34,"fr",april,"særlig uge 1")</f>
        <v>0</v>
      </c>
      <c r="BM53" s="166" t="str">
        <f>$A$39</f>
        <v>Nul-dag</v>
      </c>
      <c r="BN53" s="167"/>
      <c r="BO53" s="167"/>
      <c r="BP53" s="168">
        <f>COUNTIF(maj,"Nul-dag")</f>
        <v>0</v>
      </c>
      <c r="BQ53" s="162" t="s">
        <v>83</v>
      </c>
      <c r="BR53" s="499" t="str">
        <f t="shared" si="51"/>
        <v>Sær. uge 1 Fredag</v>
      </c>
      <c r="BS53" s="170">
        <f>COUNTIFS($BN$5:$BN$35,"fr",maj,"særlig uge 1")</f>
        <v>0</v>
      </c>
      <c r="BT53" s="166" t="str">
        <f>$A$39</f>
        <v>Nul-dag</v>
      </c>
      <c r="BU53" s="167"/>
      <c r="BV53" s="167"/>
      <c r="BW53" s="168">
        <f>COUNTIF(juni,"Nul-dag")</f>
        <v>0</v>
      </c>
      <c r="BX53" s="162" t="s">
        <v>83</v>
      </c>
      <c r="BY53" s="499" t="str">
        <f t="shared" si="52"/>
        <v>Sær. uge 1 Fredag</v>
      </c>
      <c r="BZ53" s="170">
        <f>COUNTIFS($BU$5:$BU$34,"fr",juni,"særlig uge 1")</f>
        <v>0</v>
      </c>
      <c r="CA53" s="166" t="str">
        <f>$A$39</f>
        <v>Nul-dag</v>
      </c>
      <c r="CB53" s="167"/>
      <c r="CC53" s="167"/>
      <c r="CD53" s="168">
        <f>COUNTIF(juli,"Nul-dag")</f>
        <v>0</v>
      </c>
      <c r="CE53" s="162" t="s">
        <v>83</v>
      </c>
      <c r="CF53" s="499" t="str">
        <f t="shared" si="53"/>
        <v>Sær. uge 1 Fredag</v>
      </c>
      <c r="CG53" s="170">
        <f>COUNTIFS($CB$5:$CB$35,"fr",juli,"særlig uge 1")</f>
        <v>0</v>
      </c>
      <c r="CH53" s="178"/>
      <c r="CI53" s="636" t="str">
        <f>CF53</f>
        <v>Sær. uge 1 Fredag</v>
      </c>
      <c r="CJ53" s="637">
        <f>CG53+BZ53+BS53+BL53+BE53+AX53+AQ53+AJ53+AC53+V53+O53+H53</f>
        <v>0</v>
      </c>
    </row>
    <row r="54" spans="1:88">
      <c r="A54" s="554" t="s">
        <v>198</v>
      </c>
      <c r="B54" s="169" t="str">
        <f>$A$40</f>
        <v>Ikke relevant</v>
      </c>
      <c r="C54" s="249"/>
      <c r="D54" s="249"/>
      <c r="E54" s="170">
        <f>COUNTIF(august,"Ikke relevant")</f>
        <v>0</v>
      </c>
      <c r="F54" s="162" t="s">
        <v>84</v>
      </c>
      <c r="I54" s="169" t="str">
        <f>$A$40</f>
        <v>Ikke relevant</v>
      </c>
      <c r="J54" s="249"/>
      <c r="K54" s="249"/>
      <c r="L54" s="170">
        <f>COUNTIF(september,"Ikke relevant")</f>
        <v>0</v>
      </c>
      <c r="M54" s="162" t="s">
        <v>84</v>
      </c>
      <c r="N54" s="177"/>
      <c r="O54" s="177"/>
      <c r="P54" s="169" t="str">
        <f>$A$40</f>
        <v>Ikke relevant</v>
      </c>
      <c r="Q54" s="249"/>
      <c r="R54" s="249"/>
      <c r="S54" s="170">
        <f>COUNTIF(oktober,"Ikke relevant")</f>
        <v>0</v>
      </c>
      <c r="T54" s="162" t="s">
        <v>84</v>
      </c>
      <c r="U54" s="116"/>
      <c r="V54" s="503"/>
      <c r="W54" s="169" t="str">
        <f>$A$40</f>
        <v>Ikke relevant</v>
      </c>
      <c r="X54" s="249"/>
      <c r="Y54" s="249"/>
      <c r="Z54" s="170">
        <f>COUNTIF(november,"Ikke relevant")</f>
        <v>0</v>
      </c>
      <c r="AA54" s="162" t="s">
        <v>84</v>
      </c>
      <c r="AB54" s="116"/>
      <c r="AC54" s="503"/>
      <c r="AD54" s="169" t="str">
        <f>$A$40</f>
        <v>Ikke relevant</v>
      </c>
      <c r="AE54" s="249"/>
      <c r="AF54" s="249"/>
      <c r="AG54" s="170">
        <f>COUNTIF(december,"Ikke relevant")</f>
        <v>0</v>
      </c>
      <c r="AH54" s="162" t="s">
        <v>84</v>
      </c>
      <c r="AI54" s="116"/>
      <c r="AJ54" s="503"/>
      <c r="AK54" s="169" t="str">
        <f>$A$40</f>
        <v>Ikke relevant</v>
      </c>
      <c r="AL54" s="249"/>
      <c r="AM54" s="249"/>
      <c r="AN54" s="170">
        <f>COUNTIF(januar,"Ikke relevant")</f>
        <v>0</v>
      </c>
      <c r="AO54" s="162" t="s">
        <v>84</v>
      </c>
      <c r="AP54" s="116"/>
      <c r="AQ54" s="503"/>
      <c r="AR54" s="169" t="str">
        <f>$A$40</f>
        <v>Ikke relevant</v>
      </c>
      <c r="AS54" s="249"/>
      <c r="AT54" s="249"/>
      <c r="AU54" s="170">
        <f>COUNTIF(februar,"Ikke relevant")</f>
        <v>0</v>
      </c>
      <c r="AV54" s="162" t="s">
        <v>84</v>
      </c>
      <c r="AW54" s="116"/>
      <c r="AX54" s="503"/>
      <c r="AY54" s="169" t="str">
        <f>$A$40</f>
        <v>Ikke relevant</v>
      </c>
      <c r="AZ54" s="249"/>
      <c r="BA54" s="249"/>
      <c r="BB54" s="170">
        <f>COUNTIF(marts,"Ikke relevant")</f>
        <v>0</v>
      </c>
      <c r="BC54" s="162" t="s">
        <v>84</v>
      </c>
      <c r="BD54" s="116"/>
      <c r="BE54" s="503"/>
      <c r="BF54" s="169" t="str">
        <f>$A$40</f>
        <v>Ikke relevant</v>
      </c>
      <c r="BG54" s="249"/>
      <c r="BH54" s="249"/>
      <c r="BI54" s="170">
        <f>COUNTIF(april,"Ikke relevant")</f>
        <v>0</v>
      </c>
      <c r="BJ54" s="162" t="s">
        <v>84</v>
      </c>
      <c r="BK54" s="116"/>
      <c r="BL54" s="503"/>
      <c r="BM54" s="169" t="str">
        <f>$A$40</f>
        <v>Ikke relevant</v>
      </c>
      <c r="BN54" s="249"/>
      <c r="BO54" s="249"/>
      <c r="BP54" s="170">
        <f>COUNTIF(maj,"Ikke relevant")</f>
        <v>0</v>
      </c>
      <c r="BQ54" s="162" t="s">
        <v>84</v>
      </c>
      <c r="BR54" s="116"/>
      <c r="BS54" s="503"/>
      <c r="BT54" s="169" t="str">
        <f>$A$40</f>
        <v>Ikke relevant</v>
      </c>
      <c r="BU54" s="249"/>
      <c r="BV54" s="249"/>
      <c r="BW54" s="170">
        <f>COUNTIF(juni,"Ikke relevant")</f>
        <v>0</v>
      </c>
      <c r="BX54" s="162" t="s">
        <v>84</v>
      </c>
      <c r="BY54" s="116"/>
      <c r="BZ54" s="503"/>
      <c r="CA54" s="169" t="str">
        <f>$A$40</f>
        <v>Ikke relevant</v>
      </c>
      <c r="CB54" s="249"/>
      <c r="CC54" s="249"/>
      <c r="CD54" s="170">
        <f>COUNTIF(juli,"Ikke relevant")</f>
        <v>0</v>
      </c>
      <c r="CE54" s="162" t="s">
        <v>84</v>
      </c>
      <c r="CF54" s="116"/>
      <c r="CG54" s="116"/>
    </row>
    <row r="55" spans="1:88">
      <c r="A55" s="554" t="s">
        <v>199</v>
      </c>
      <c r="B55" s="173" t="s">
        <v>69</v>
      </c>
      <c r="C55" s="174"/>
      <c r="D55" s="174"/>
      <c r="E55" s="175">
        <f>SUM(E37:E54)</f>
        <v>31</v>
      </c>
      <c r="F55" s="162"/>
      <c r="G55" s="612" t="s">
        <v>209</v>
      </c>
      <c r="H55" s="257">
        <f>COUNTIFS($C$5:$C$35,"ma",august,"særlig uge 2")</f>
        <v>0</v>
      </c>
      <c r="I55" s="173" t="s">
        <v>69</v>
      </c>
      <c r="J55" s="174"/>
      <c r="K55" s="174"/>
      <c r="L55" s="175">
        <f>SUM(L37:L54)</f>
        <v>30</v>
      </c>
      <c r="M55" s="162"/>
      <c r="N55" s="612" t="str">
        <f>G55</f>
        <v>Sær. uge 2 Mandag</v>
      </c>
      <c r="O55" s="257">
        <f>COUNTIFS($J$5:$J$34,"ma",september,"særlig uge 2")</f>
        <v>0</v>
      </c>
      <c r="P55" s="173" t="s">
        <v>69</v>
      </c>
      <c r="Q55" s="174"/>
      <c r="R55" s="174"/>
      <c r="S55" s="175">
        <f>SUM(S37:S54)</f>
        <v>31</v>
      </c>
      <c r="T55" s="162"/>
      <c r="U55" s="500" t="str">
        <f>N55</f>
        <v>Sær. uge 2 Mandag</v>
      </c>
      <c r="V55" s="257">
        <f>COUNTIFS($Q$5:$Q$35,"ma",oktober,"særlig uge 2")</f>
        <v>0</v>
      </c>
      <c r="W55" s="173" t="s">
        <v>69</v>
      </c>
      <c r="X55" s="174"/>
      <c r="Y55" s="174"/>
      <c r="Z55" s="175">
        <f>SUM(Z37:Z54)</f>
        <v>30</v>
      </c>
      <c r="AA55" s="162"/>
      <c r="AB55" s="500" t="str">
        <f>U55</f>
        <v>Sær. uge 2 Mandag</v>
      </c>
      <c r="AC55" s="257">
        <f>COUNTIFS($X$5:$X$34,"ma",november,"Særlig uge 2")</f>
        <v>0</v>
      </c>
      <c r="AD55" s="173" t="s">
        <v>69</v>
      </c>
      <c r="AE55" s="174"/>
      <c r="AF55" s="174"/>
      <c r="AG55" s="175">
        <f>SUM(AG37:AG54)</f>
        <v>31</v>
      </c>
      <c r="AH55" s="162"/>
      <c r="AI55" s="500" t="str">
        <f>AB55</f>
        <v>Sær. uge 2 Mandag</v>
      </c>
      <c r="AJ55" s="257">
        <f>COUNTIFS($AE$5:$AE$35,"ma",december,"Særlig uge 2")</f>
        <v>0</v>
      </c>
      <c r="AK55" s="173" t="s">
        <v>69</v>
      </c>
      <c r="AL55" s="174"/>
      <c r="AM55" s="174"/>
      <c r="AN55" s="175">
        <f>SUM(AN37:AN54)</f>
        <v>31</v>
      </c>
      <c r="AO55" s="162"/>
      <c r="AP55" s="500" t="str">
        <f>AI55</f>
        <v>Sær. uge 2 Mandag</v>
      </c>
      <c r="AQ55" s="257">
        <f>COUNTIFS($AL$5:$AL$35,"ma",januar,"Særlig uge 2")</f>
        <v>0</v>
      </c>
      <c r="AR55" s="173" t="s">
        <v>69</v>
      </c>
      <c r="AS55" s="174"/>
      <c r="AT55" s="174"/>
      <c r="AU55" s="175">
        <f>SUM(AU37:AU54)</f>
        <v>28</v>
      </c>
      <c r="AV55" s="162"/>
      <c r="AW55" s="500" t="str">
        <f>AP55</f>
        <v>Sær. uge 2 Mandag</v>
      </c>
      <c r="AX55" s="257">
        <f>COUNTIFS($AS$5:$AS$33,"ma",februar,"Særlig uge 2")</f>
        <v>0</v>
      </c>
      <c r="AY55" s="173" t="s">
        <v>69</v>
      </c>
      <c r="AZ55" s="174"/>
      <c r="BA55" s="174"/>
      <c r="BB55" s="175">
        <f>SUM(BB37:BB54)</f>
        <v>31</v>
      </c>
      <c r="BC55" s="162"/>
      <c r="BD55" s="500" t="str">
        <f>AW55</f>
        <v>Sær. uge 2 Mandag</v>
      </c>
      <c r="BE55" s="257">
        <f>COUNTIFS($AZ$5:$AZ$35,"ma",marts,"Særlig uge 2")</f>
        <v>0</v>
      </c>
      <c r="BF55" s="173" t="s">
        <v>69</v>
      </c>
      <c r="BG55" s="174"/>
      <c r="BH55" s="174"/>
      <c r="BI55" s="175">
        <f>SUM(BI37:BI54)</f>
        <v>30</v>
      </c>
      <c r="BJ55" s="162"/>
      <c r="BK55" s="500" t="str">
        <f>BD55</f>
        <v>Sær. uge 2 Mandag</v>
      </c>
      <c r="BL55" s="257">
        <f>COUNTIFS($BG$5:$BG$34,"ma",april,"Særlig uge 2")</f>
        <v>0</v>
      </c>
      <c r="BM55" s="173" t="s">
        <v>69</v>
      </c>
      <c r="BN55" s="174"/>
      <c r="BO55" s="174"/>
      <c r="BP55" s="175">
        <f>SUM(BP37:BP54)</f>
        <v>31</v>
      </c>
      <c r="BQ55" s="162"/>
      <c r="BR55" s="500" t="str">
        <f>BK55</f>
        <v>Sær. uge 2 Mandag</v>
      </c>
      <c r="BS55" s="257">
        <f>COUNTIFS($BN$5:$BN$35,"ma",maj,"Særlig uge 2")</f>
        <v>0</v>
      </c>
      <c r="BT55" s="173" t="s">
        <v>69</v>
      </c>
      <c r="BU55" s="174"/>
      <c r="BV55" s="174"/>
      <c r="BW55" s="175">
        <f>SUM(BW37:BW54)</f>
        <v>30</v>
      </c>
      <c r="BX55" s="162"/>
      <c r="BY55" s="500" t="str">
        <f>BR55</f>
        <v>Sær. uge 2 Mandag</v>
      </c>
      <c r="BZ55" s="257">
        <f>COUNTIFS($BU$5:$BU$34,"ma",juni,"Særlig uge 2")</f>
        <v>0</v>
      </c>
      <c r="CA55" s="173" t="s">
        <v>69</v>
      </c>
      <c r="CB55" s="174"/>
      <c r="CC55" s="174"/>
      <c r="CD55" s="175">
        <f>SUM(CD37:CD54)</f>
        <v>31</v>
      </c>
      <c r="CE55" s="162"/>
      <c r="CF55" s="500" t="str">
        <f>BY55</f>
        <v>Sær. uge 2 Mandag</v>
      </c>
      <c r="CG55" s="257">
        <f>COUNTIFS($CB$5:$CB$35,"ma",juli,"Særlig uge 2")</f>
        <v>0</v>
      </c>
      <c r="CI55" s="260" t="str">
        <f>CF55</f>
        <v>Sær. uge 2 Mandag</v>
      </c>
      <c r="CJ55" s="281">
        <f>CG55+BZ55+BS55+BL55+BE55+AX55+AQ55+AJ55+AC55+V55+O55+H55</f>
        <v>0</v>
      </c>
    </row>
    <row r="56" spans="1:88">
      <c r="A56" s="554" t="s">
        <v>78</v>
      </c>
      <c r="B56" s="113"/>
      <c r="C56" s="113"/>
      <c r="D56" s="113"/>
      <c r="E56" s="115"/>
      <c r="F56" s="115"/>
      <c r="G56" s="613" t="s">
        <v>210</v>
      </c>
      <c r="H56" s="258">
        <f>COUNTIFS($C$5:$C$35,"ti",august,"særlig uge 2")</f>
        <v>0</v>
      </c>
      <c r="I56" s="177"/>
      <c r="J56" s="177"/>
      <c r="K56" s="177"/>
      <c r="L56" s="177"/>
      <c r="M56" s="177"/>
      <c r="N56" s="613" t="str">
        <f t="shared" ref="N56:N59" si="54">G56</f>
        <v>Sær. uge 2 Tirsdag</v>
      </c>
      <c r="O56" s="258">
        <f>COUNTIFS($J$5:$J$34,"ti",september,"særlig uge 2")</f>
        <v>0</v>
      </c>
      <c r="P56" s="177"/>
      <c r="Q56" s="177"/>
      <c r="R56" s="177"/>
      <c r="S56" s="177"/>
      <c r="T56" s="177"/>
      <c r="U56" s="501" t="str">
        <f t="shared" ref="U56:U59" si="55">N56</f>
        <v>Sær. uge 2 Tirsdag</v>
      </c>
      <c r="V56" s="258">
        <f>COUNTIFS($Q$5:$Q$35,"ti",oktober,"særlig uge 2")</f>
        <v>0</v>
      </c>
      <c r="W56" s="177"/>
      <c r="X56" s="177"/>
      <c r="Y56" s="177"/>
      <c r="Z56" s="177"/>
      <c r="AA56" s="177"/>
      <c r="AB56" s="501" t="str">
        <f t="shared" ref="AB56:AB59" si="56">U56</f>
        <v>Sær. uge 2 Tirsdag</v>
      </c>
      <c r="AC56" s="258">
        <f>COUNTIFS($X$5:$X$34,"ti",november,"Særlig uge 2")</f>
        <v>0</v>
      </c>
      <c r="AD56" s="177"/>
      <c r="AE56" s="177"/>
      <c r="AF56" s="177"/>
      <c r="AG56" s="177"/>
      <c r="AH56" s="177"/>
      <c r="AI56" s="501" t="str">
        <f t="shared" ref="AI56:AI59" si="57">AB56</f>
        <v>Sær. uge 2 Tirsdag</v>
      </c>
      <c r="AJ56" s="258">
        <f>COUNTIFS($AE$5:$AE$35,"ti",december,"Særlig uge 2")</f>
        <v>0</v>
      </c>
      <c r="AK56" s="177"/>
      <c r="AL56" s="177"/>
      <c r="AM56" s="177"/>
      <c r="AN56" s="179"/>
      <c r="AO56" s="177"/>
      <c r="AP56" s="501" t="str">
        <f t="shared" ref="AP56:AP59" si="58">AI56</f>
        <v>Sær. uge 2 Tirsdag</v>
      </c>
      <c r="AQ56" s="258">
        <f>COUNTIFS($AL$5:$AL$35,"ti",januar,"Særlig uge 2")</f>
        <v>0</v>
      </c>
      <c r="AR56" s="177"/>
      <c r="AS56" s="177"/>
      <c r="AT56" s="177"/>
      <c r="AU56" s="179"/>
      <c r="AV56" s="177"/>
      <c r="AW56" s="501" t="str">
        <f t="shared" ref="AW56:AW59" si="59">AP56</f>
        <v>Sær. uge 2 Tirsdag</v>
      </c>
      <c r="AX56" s="258">
        <f>COUNTIFS($AS$5:$AS$33,"ti",februar,"Særlig uge 2")</f>
        <v>0</v>
      </c>
      <c r="AY56" s="177"/>
      <c r="AZ56" s="177"/>
      <c r="BA56" s="177"/>
      <c r="BB56" s="179"/>
      <c r="BC56" s="177"/>
      <c r="BD56" s="501" t="str">
        <f t="shared" ref="BD56:BD59" si="60">AW56</f>
        <v>Sær. uge 2 Tirsdag</v>
      </c>
      <c r="BE56" s="258">
        <f>COUNTIFS($AZ$5:$AZ$35,"ti",marts,"Særlig uge 2")</f>
        <v>0</v>
      </c>
      <c r="BF56" s="177"/>
      <c r="BG56" s="177"/>
      <c r="BH56" s="177"/>
      <c r="BI56" s="177"/>
      <c r="BJ56" s="177"/>
      <c r="BK56" s="501" t="str">
        <f t="shared" ref="BK56:BK59" si="61">BD56</f>
        <v>Sær. uge 2 Tirsdag</v>
      </c>
      <c r="BL56" s="258">
        <f>COUNTIFS($BG$5:$BG$34,"ti",april,"Særlig uge 2")</f>
        <v>0</v>
      </c>
      <c r="BM56" s="177"/>
      <c r="BN56" s="177"/>
      <c r="BO56" s="177"/>
      <c r="BP56" s="177"/>
      <c r="BQ56" s="177"/>
      <c r="BR56" s="501" t="str">
        <f t="shared" ref="BR56:BR59" si="62">BK56</f>
        <v>Sær. uge 2 Tirsdag</v>
      </c>
      <c r="BS56" s="258">
        <f>COUNTIFS($BN$5:$BN$35,"ti",maj,"Særlig uge 2")</f>
        <v>0</v>
      </c>
      <c r="BT56" s="177"/>
      <c r="BU56" s="177"/>
      <c r="BV56" s="177"/>
      <c r="BW56" s="177"/>
      <c r="BX56" s="177"/>
      <c r="BY56" s="501" t="str">
        <f t="shared" ref="BY56:BY59" si="63">BR56</f>
        <v>Sær. uge 2 Tirsdag</v>
      </c>
      <c r="BZ56" s="258">
        <f>COUNTIFS($BU$5:$BU$34,"ti",juni,"Særlig uge 2")</f>
        <v>0</v>
      </c>
      <c r="CA56" s="116"/>
      <c r="CB56" s="116"/>
      <c r="CC56" s="116"/>
      <c r="CD56" s="116"/>
      <c r="CF56" s="501" t="str">
        <f t="shared" ref="CF56:CF59" si="64">BY56</f>
        <v>Sær. uge 2 Tirsdag</v>
      </c>
      <c r="CG56" s="258">
        <f>COUNTIFS($CB$5:$CB$35,"ti",juli,"Særlig uge 2")</f>
        <v>0</v>
      </c>
      <c r="CI56" s="617" t="str">
        <f>CF56</f>
        <v>Sær. uge 2 Tirsdag</v>
      </c>
      <c r="CJ56" s="618">
        <f>CG56+BZ56+BS56+BL56+BE56+AX56+AQ56+AJ56+AC56+V56+O56+H56</f>
        <v>0</v>
      </c>
    </row>
    <row r="57" spans="1:88">
      <c r="A57" s="554" t="s">
        <v>66</v>
      </c>
      <c r="E57" s="177"/>
      <c r="F57" s="176"/>
      <c r="G57" s="613" t="s">
        <v>211</v>
      </c>
      <c r="H57" s="258">
        <f>COUNTIFS($C$5:$C$35,"on",august,"særlig uge 2")</f>
        <v>0</v>
      </c>
      <c r="I57" s="177"/>
      <c r="J57" s="177"/>
      <c r="K57" s="177"/>
      <c r="L57" s="177"/>
      <c r="M57" s="177"/>
      <c r="N57" s="613" t="str">
        <f t="shared" si="54"/>
        <v>Sær. uge 2 Onsdag</v>
      </c>
      <c r="O57" s="258">
        <f>COUNTIFS($J$5:$J$34,"on",september,"særlig uge 2")</f>
        <v>0</v>
      </c>
      <c r="P57" s="177"/>
      <c r="Q57" s="177"/>
      <c r="R57" s="177"/>
      <c r="S57" s="177"/>
      <c r="T57" s="177"/>
      <c r="U57" s="501" t="str">
        <f t="shared" si="55"/>
        <v>Sær. uge 2 Onsdag</v>
      </c>
      <c r="V57" s="258">
        <f>COUNTIFS($Q$5:$Q$35,"on",oktober,"særlig uge 2")</f>
        <v>0</v>
      </c>
      <c r="W57" s="177"/>
      <c r="X57" s="177"/>
      <c r="Y57" s="177"/>
      <c r="Z57" s="177"/>
      <c r="AA57" s="177"/>
      <c r="AB57" s="501" t="str">
        <f t="shared" si="56"/>
        <v>Sær. uge 2 Onsdag</v>
      </c>
      <c r="AC57" s="258">
        <f>COUNTIFS($X$5:$X$34,"on",november,"Særlig uge 2")</f>
        <v>0</v>
      </c>
      <c r="AD57" s="177"/>
      <c r="AE57" s="177"/>
      <c r="AF57" s="177"/>
      <c r="AG57" s="177"/>
      <c r="AH57" s="177"/>
      <c r="AI57" s="501" t="str">
        <f t="shared" si="57"/>
        <v>Sær. uge 2 Onsdag</v>
      </c>
      <c r="AJ57" s="258">
        <f>COUNTIFS($AE$5:$AE$35,"on",december,"Særlig uge 2")</f>
        <v>0</v>
      </c>
      <c r="AK57" s="177"/>
      <c r="AL57" s="177"/>
      <c r="AM57" s="177"/>
      <c r="AN57" s="179"/>
      <c r="AO57" s="177"/>
      <c r="AP57" s="501" t="str">
        <f t="shared" si="58"/>
        <v>Sær. uge 2 Onsdag</v>
      </c>
      <c r="AQ57" s="258">
        <f>COUNTIFS($AL$5:$AL$35,"on",januar,"Særlig uge 2")</f>
        <v>0</v>
      </c>
      <c r="AR57" s="177"/>
      <c r="AS57" s="177"/>
      <c r="AT57" s="177"/>
      <c r="AU57" s="179"/>
      <c r="AV57" s="177"/>
      <c r="AW57" s="501" t="str">
        <f t="shared" si="59"/>
        <v>Sær. uge 2 Onsdag</v>
      </c>
      <c r="AX57" s="258">
        <f>COUNTIFS($AS$5:$AS$33,"on",februar,"Særlig uge 2")</f>
        <v>0</v>
      </c>
      <c r="AY57" s="177"/>
      <c r="AZ57" s="177"/>
      <c r="BA57" s="177"/>
      <c r="BB57" s="179"/>
      <c r="BC57" s="177"/>
      <c r="BD57" s="501" t="str">
        <f t="shared" si="60"/>
        <v>Sær. uge 2 Onsdag</v>
      </c>
      <c r="BE57" s="258">
        <f>COUNTIFS($AZ$5:$AZ$35,"on",marts,"Særlig uge 2")</f>
        <v>0</v>
      </c>
      <c r="BF57" s="177"/>
      <c r="BG57" s="177"/>
      <c r="BH57" s="177"/>
      <c r="BI57" s="177"/>
      <c r="BJ57" s="177"/>
      <c r="BK57" s="501" t="str">
        <f t="shared" si="61"/>
        <v>Sær. uge 2 Onsdag</v>
      </c>
      <c r="BL57" s="258">
        <f>COUNTIFS($BG$5:$BG$34,"on",april,"Særlig uge 2")</f>
        <v>0</v>
      </c>
      <c r="BM57" s="177"/>
      <c r="BN57" s="177"/>
      <c r="BO57" s="177"/>
      <c r="BP57" s="177"/>
      <c r="BQ57" s="177"/>
      <c r="BR57" s="501" t="str">
        <f t="shared" si="62"/>
        <v>Sær. uge 2 Onsdag</v>
      </c>
      <c r="BS57" s="258">
        <f>COUNTIFS($BN$5:$BN$35,"on",maj,"Særlig uge 2")</f>
        <v>0</v>
      </c>
      <c r="BT57" s="177"/>
      <c r="BU57" s="177"/>
      <c r="BV57" s="177"/>
      <c r="BW57" s="177"/>
      <c r="BX57" s="177"/>
      <c r="BY57" s="501" t="str">
        <f t="shared" si="63"/>
        <v>Sær. uge 2 Onsdag</v>
      </c>
      <c r="BZ57" s="258">
        <f>COUNTIFS($BU$5:$BU$34,"on",juni,"Særlig uge 2")</f>
        <v>0</v>
      </c>
      <c r="CA57" s="116"/>
      <c r="CB57" s="116"/>
      <c r="CC57" s="116"/>
      <c r="CD57" s="116"/>
      <c r="CF57" s="501" t="str">
        <f t="shared" si="64"/>
        <v>Sær. uge 2 Onsdag</v>
      </c>
      <c r="CG57" s="258">
        <f>COUNTIFS($CB$5:$CB$35,"on",juli,"Særlig uge 2")</f>
        <v>0</v>
      </c>
      <c r="CI57" s="617" t="str">
        <f>CF57</f>
        <v>Sær. uge 2 Onsdag</v>
      </c>
      <c r="CJ57" s="618">
        <f>CG57+BZ57+BS57+BL57+BE57+AX57+AQ57+AJ57+AC57+V57+O57+H57</f>
        <v>0</v>
      </c>
    </row>
    <row r="58" spans="1:88">
      <c r="A58" s="554" t="s">
        <v>67</v>
      </c>
      <c r="E58" s="177"/>
      <c r="G58" s="613" t="s">
        <v>212</v>
      </c>
      <c r="H58" s="258">
        <f>COUNTIFS($C$5:$C$35,"to",august,"særlig uge 2")</f>
        <v>0</v>
      </c>
      <c r="I58" s="177"/>
      <c r="J58" s="177"/>
      <c r="K58" s="177"/>
      <c r="L58" s="177"/>
      <c r="M58" s="177"/>
      <c r="N58" s="613" t="str">
        <f t="shared" si="54"/>
        <v>Sær. uge 2 Torsdag</v>
      </c>
      <c r="O58" s="258">
        <f>COUNTIFS($J$5:$J$34,"to",september,"særlig uge 2")</f>
        <v>0</v>
      </c>
      <c r="P58" s="177"/>
      <c r="Q58" s="177"/>
      <c r="R58" s="177"/>
      <c r="S58" s="177"/>
      <c r="T58" s="177"/>
      <c r="U58" s="501" t="str">
        <f t="shared" si="55"/>
        <v>Sær. uge 2 Torsdag</v>
      </c>
      <c r="V58" s="258">
        <f>COUNTIFS($Q$5:$Q$35,"to",oktober,"særlig uge 2")</f>
        <v>0</v>
      </c>
      <c r="W58" s="177"/>
      <c r="X58" s="177"/>
      <c r="Y58" s="177"/>
      <c r="Z58" s="177"/>
      <c r="AA58" s="177"/>
      <c r="AB58" s="501" t="str">
        <f t="shared" si="56"/>
        <v>Sær. uge 2 Torsdag</v>
      </c>
      <c r="AC58" s="258">
        <f>COUNTIFS($X$5:$X$34,"to",november,"Særlig uge 2")</f>
        <v>0</v>
      </c>
      <c r="AD58" s="177"/>
      <c r="AE58" s="177"/>
      <c r="AF58" s="177"/>
      <c r="AG58" s="177"/>
      <c r="AH58" s="177"/>
      <c r="AI58" s="501" t="str">
        <f t="shared" si="57"/>
        <v>Sær. uge 2 Torsdag</v>
      </c>
      <c r="AJ58" s="258">
        <f>COUNTIFS($AE$5:$AE$35,"to",december,"Særlig uge 2")</f>
        <v>0</v>
      </c>
      <c r="AK58" s="177"/>
      <c r="AL58" s="177"/>
      <c r="AM58" s="177"/>
      <c r="AN58" s="179"/>
      <c r="AO58" s="177"/>
      <c r="AP58" s="501" t="str">
        <f t="shared" si="58"/>
        <v>Sær. uge 2 Torsdag</v>
      </c>
      <c r="AQ58" s="258">
        <f>COUNTIFS($AL$5:$AL$35,"to",januar,"Særlig uge 2")</f>
        <v>0</v>
      </c>
      <c r="AR58" s="177"/>
      <c r="AS58" s="177"/>
      <c r="AT58" s="177"/>
      <c r="AU58" s="179"/>
      <c r="AV58" s="177"/>
      <c r="AW58" s="501" t="str">
        <f t="shared" si="59"/>
        <v>Sær. uge 2 Torsdag</v>
      </c>
      <c r="AX58" s="258">
        <f>COUNTIFS($AS$5:$AS$33,"to",februar,"Særlig uge 2")</f>
        <v>0</v>
      </c>
      <c r="AY58" s="177"/>
      <c r="AZ58" s="177"/>
      <c r="BA58" s="177"/>
      <c r="BB58" s="179"/>
      <c r="BC58" s="177"/>
      <c r="BD58" s="501" t="str">
        <f t="shared" si="60"/>
        <v>Sær. uge 2 Torsdag</v>
      </c>
      <c r="BE58" s="258">
        <f>COUNTIFS($AZ$5:$AZ$35,"to",marts,"Særlig uge 2")</f>
        <v>0</v>
      </c>
      <c r="BF58" s="177"/>
      <c r="BG58" s="177"/>
      <c r="BH58" s="177"/>
      <c r="BI58" s="177"/>
      <c r="BJ58" s="177"/>
      <c r="BK58" s="501" t="str">
        <f t="shared" si="61"/>
        <v>Sær. uge 2 Torsdag</v>
      </c>
      <c r="BL58" s="258">
        <f>COUNTIFS($BG$5:$BG$34,"to",april,"Særlig uge 2")</f>
        <v>0</v>
      </c>
      <c r="BM58" s="177"/>
      <c r="BN58" s="177"/>
      <c r="BO58" s="177"/>
      <c r="BP58" s="177"/>
      <c r="BQ58" s="177"/>
      <c r="BR58" s="501" t="str">
        <f t="shared" si="62"/>
        <v>Sær. uge 2 Torsdag</v>
      </c>
      <c r="BS58" s="258">
        <f>COUNTIFS($BN$5:$BN$35,"to",maj,"Særlig uge 2")</f>
        <v>0</v>
      </c>
      <c r="BT58" s="177"/>
      <c r="BU58" s="177"/>
      <c r="BV58" s="177"/>
      <c r="BW58" s="177"/>
      <c r="BX58" s="177"/>
      <c r="BY58" s="501" t="str">
        <f t="shared" si="63"/>
        <v>Sær. uge 2 Torsdag</v>
      </c>
      <c r="BZ58" s="258">
        <f>COUNTIFS($BU$5:$BU$34,"to",juni,"Særlig uge 2")</f>
        <v>0</v>
      </c>
      <c r="CA58" s="116"/>
      <c r="CB58" s="116"/>
      <c r="CC58" s="116"/>
      <c r="CD58" s="116"/>
      <c r="CF58" s="501" t="str">
        <f t="shared" si="64"/>
        <v>Sær. uge 2 Torsdag</v>
      </c>
      <c r="CG58" s="258">
        <f>COUNTIFS($CB$5:$CB$35,"to",juli,"Særlig uge 2")</f>
        <v>0</v>
      </c>
      <c r="CI58" s="617" t="str">
        <f>CF58</f>
        <v>Sær. uge 2 Torsdag</v>
      </c>
      <c r="CJ58" s="618">
        <f>CG58+BZ58+BS58+BL58+BE58+AX58+AQ58+AJ58+AC58+V58+O58+H58</f>
        <v>0</v>
      </c>
    </row>
    <row r="59" spans="1:88">
      <c r="A59" s="554" t="s">
        <v>62</v>
      </c>
      <c r="E59" s="177"/>
      <c r="G59" s="614" t="s">
        <v>213</v>
      </c>
      <c r="H59" s="259">
        <f>COUNTIFS($C$5:$C$35,"fr",august,"særlig uge 2")</f>
        <v>0</v>
      </c>
      <c r="I59" s="177"/>
      <c r="J59" s="177"/>
      <c r="K59" s="177"/>
      <c r="L59" s="177"/>
      <c r="M59" s="177"/>
      <c r="N59" s="614" t="str">
        <f t="shared" si="54"/>
        <v>Sær. uge 2 Fredag</v>
      </c>
      <c r="O59" s="259">
        <f>COUNTIFS($J$5:$J$34,"fr",september,"særlig uge 2")</f>
        <v>0</v>
      </c>
      <c r="P59" s="177"/>
      <c r="Q59" s="177"/>
      <c r="R59" s="177"/>
      <c r="S59" s="177"/>
      <c r="T59" s="177"/>
      <c r="U59" s="502" t="str">
        <f t="shared" si="55"/>
        <v>Sær. uge 2 Fredag</v>
      </c>
      <c r="V59" s="259">
        <f>COUNTIFS($Q$5:$Q$35,"fr",oktober,"særlig uge 2")</f>
        <v>0</v>
      </c>
      <c r="W59" s="177"/>
      <c r="X59" s="177"/>
      <c r="Y59" s="177"/>
      <c r="Z59" s="177"/>
      <c r="AA59" s="177"/>
      <c r="AB59" s="502" t="str">
        <f t="shared" si="56"/>
        <v>Sær. uge 2 Fredag</v>
      </c>
      <c r="AC59" s="259">
        <f>COUNTIFS($X$5:$X$34,"fr",november,"Særlig uge 2")</f>
        <v>0</v>
      </c>
      <c r="AD59" s="177"/>
      <c r="AE59" s="177"/>
      <c r="AF59" s="177"/>
      <c r="AG59" s="177"/>
      <c r="AH59" s="177"/>
      <c r="AI59" s="502" t="str">
        <f t="shared" si="57"/>
        <v>Sær. uge 2 Fredag</v>
      </c>
      <c r="AJ59" s="259">
        <f>COUNTIFS($AE$5:$AE$35,"fr",december,"Særlig uge 2")</f>
        <v>0</v>
      </c>
      <c r="AK59" s="177"/>
      <c r="AL59" s="177"/>
      <c r="AM59" s="177"/>
      <c r="AN59" s="179"/>
      <c r="AO59" s="177"/>
      <c r="AP59" s="502" t="str">
        <f t="shared" si="58"/>
        <v>Sær. uge 2 Fredag</v>
      </c>
      <c r="AQ59" s="259">
        <f>COUNTIFS($AL$5:$AL$35,"fr",januar,"Særlig uge 2")</f>
        <v>0</v>
      </c>
      <c r="AR59" s="177"/>
      <c r="AS59" s="177"/>
      <c r="AT59" s="177"/>
      <c r="AU59" s="179"/>
      <c r="AV59" s="177"/>
      <c r="AW59" s="502" t="str">
        <f t="shared" si="59"/>
        <v>Sær. uge 2 Fredag</v>
      </c>
      <c r="AX59" s="259">
        <f>COUNTIFS($AS$5:$AS$33,"fr",februar,"Særlig uge 2")</f>
        <v>0</v>
      </c>
      <c r="AY59" s="177"/>
      <c r="AZ59" s="177"/>
      <c r="BA59" s="177"/>
      <c r="BB59" s="179"/>
      <c r="BC59" s="177"/>
      <c r="BD59" s="502" t="str">
        <f t="shared" si="60"/>
        <v>Sær. uge 2 Fredag</v>
      </c>
      <c r="BE59" s="259">
        <f>COUNTIFS($AZ$5:$AZ$35,"fr",marts,"Særlig uge 2")</f>
        <v>0</v>
      </c>
      <c r="BF59" s="177"/>
      <c r="BG59" s="177"/>
      <c r="BH59" s="177"/>
      <c r="BI59" s="177"/>
      <c r="BJ59" s="177"/>
      <c r="BK59" s="502" t="str">
        <f t="shared" si="61"/>
        <v>Sær. uge 2 Fredag</v>
      </c>
      <c r="BL59" s="259">
        <f>COUNTIFS($BG$5:$BG$34,"fr",april,"Særlig uge 2")</f>
        <v>0</v>
      </c>
      <c r="BM59" s="177"/>
      <c r="BN59" s="177"/>
      <c r="BO59" s="177"/>
      <c r="BP59" s="177"/>
      <c r="BQ59" s="177"/>
      <c r="BR59" s="502" t="str">
        <f t="shared" si="62"/>
        <v>Sær. uge 2 Fredag</v>
      </c>
      <c r="BS59" s="259">
        <f>COUNTIFS($BN$5:$BN$35,"fr",maj,"Særlig uge 2")</f>
        <v>0</v>
      </c>
      <c r="BT59" s="177"/>
      <c r="BU59" s="177"/>
      <c r="BV59" s="177"/>
      <c r="BW59" s="177"/>
      <c r="BX59" s="177"/>
      <c r="BY59" s="502" t="str">
        <f t="shared" si="63"/>
        <v>Sær. uge 2 Fredag</v>
      </c>
      <c r="BZ59" s="259">
        <f>COUNTIFS($BU$5:$BU$34,"fr",juni,"Særlig uge 2")</f>
        <v>0</v>
      </c>
      <c r="CA59" s="116"/>
      <c r="CB59" s="116"/>
      <c r="CC59" s="116"/>
      <c r="CD59" s="116"/>
      <c r="CF59" s="502" t="str">
        <f t="shared" si="64"/>
        <v>Sær. uge 2 Fredag</v>
      </c>
      <c r="CG59" s="259">
        <f>COUNTIFS($CB$5:$CB$35,"fr",juli,"Særlig uge 2")</f>
        <v>0</v>
      </c>
      <c r="CI59" s="619" t="str">
        <f>CF59</f>
        <v>Sær. uge 2 Fredag</v>
      </c>
      <c r="CJ59" s="620">
        <f>CG59+BZ59+BS59+BL59+BE59+AX59+AQ59+AJ59+AC59+V59+O59+H59</f>
        <v>0</v>
      </c>
    </row>
    <row r="60" spans="1:88">
      <c r="A60" s="554" t="s">
        <v>57</v>
      </c>
      <c r="E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9"/>
      <c r="AO60" s="177"/>
      <c r="AP60" s="177"/>
      <c r="AQ60" s="177"/>
      <c r="AR60" s="177"/>
      <c r="AS60" s="177"/>
      <c r="AT60" s="177"/>
      <c r="AU60" s="179"/>
      <c r="AV60" s="177"/>
      <c r="AW60" s="177"/>
      <c r="AX60" s="177"/>
      <c r="AY60" s="177"/>
      <c r="AZ60" s="177"/>
      <c r="BA60" s="177"/>
      <c r="BB60" s="179"/>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16"/>
      <c r="CB60" s="116"/>
      <c r="CC60" s="116"/>
      <c r="CD60" s="116"/>
    </row>
    <row r="61" spans="1:88">
      <c r="A61" s="554" t="s">
        <v>80</v>
      </c>
      <c r="E61" s="177"/>
      <c r="G61" s="612" t="s">
        <v>234</v>
      </c>
      <c r="H61" s="257">
        <f>COUNTIFS($C$5:$C$35,"ma",august,"særlig uge 3")</f>
        <v>0</v>
      </c>
      <c r="I61" s="177"/>
      <c r="J61" s="177"/>
      <c r="K61" s="177"/>
      <c r="L61" s="177"/>
      <c r="M61" s="177"/>
      <c r="N61" s="612" t="str">
        <f>G61</f>
        <v>Sær. uge 3 Mandag</v>
      </c>
      <c r="O61" s="257">
        <f>COUNTIFS($J$5:$J$34,"ma",september,"særlig uge 3")</f>
        <v>0</v>
      </c>
      <c r="P61" s="177"/>
      <c r="Q61" s="177"/>
      <c r="R61" s="177"/>
      <c r="S61" s="177"/>
      <c r="T61" s="177"/>
      <c r="U61" s="497" t="str">
        <f>N61</f>
        <v>Sær. uge 3 Mandag</v>
      </c>
      <c r="V61" s="163">
        <f>COUNTIFS($Q$5:$Q$35,"ma",oktober,"særlig uge 3")</f>
        <v>0</v>
      </c>
      <c r="W61" s="177"/>
      <c r="X61" s="177"/>
      <c r="Y61" s="177"/>
      <c r="Z61" s="177"/>
      <c r="AA61" s="177"/>
      <c r="AB61" s="497" t="str">
        <f>U61</f>
        <v>Sær. uge 3 Mandag</v>
      </c>
      <c r="AC61" s="163">
        <f>COUNTIFS($X$5:$X$34,"ma",november,"Særlig uge 3")</f>
        <v>0</v>
      </c>
      <c r="AD61" s="177"/>
      <c r="AE61" s="177"/>
      <c r="AF61" s="177"/>
      <c r="AG61" s="177"/>
      <c r="AH61" s="177"/>
      <c r="AI61" s="497" t="str">
        <f>AB61</f>
        <v>Sær. uge 3 Mandag</v>
      </c>
      <c r="AJ61" s="163">
        <f>COUNTIFS($AE$5:$AE$35,"ma",december,"Særlig uge 3")</f>
        <v>0</v>
      </c>
      <c r="AK61" s="177"/>
      <c r="AL61" s="177"/>
      <c r="AM61" s="177"/>
      <c r="AN61" s="179"/>
      <c r="AO61" s="177"/>
      <c r="AP61" s="497" t="str">
        <f>AI61</f>
        <v>Sær. uge 3 Mandag</v>
      </c>
      <c r="AQ61" s="163">
        <f>COUNTIFS($AL$5:$AL$35,"ma",januar,"Særlig uge 3")</f>
        <v>0</v>
      </c>
      <c r="AR61" s="177"/>
      <c r="AS61" s="177"/>
      <c r="AT61" s="177"/>
      <c r="AU61" s="179"/>
      <c r="AV61" s="177"/>
      <c r="AW61" s="497" t="str">
        <f>AP61</f>
        <v>Sær. uge 3 Mandag</v>
      </c>
      <c r="AX61" s="163">
        <f>COUNTIFS($AS$5:$AS$33,"ma",februar,"Særlig uge 3")</f>
        <v>0</v>
      </c>
      <c r="AY61" s="177"/>
      <c r="AZ61" s="177"/>
      <c r="BA61" s="177"/>
      <c r="BB61" s="179"/>
      <c r="BC61" s="177"/>
      <c r="BD61" s="497" t="str">
        <f>AW61</f>
        <v>Sær. uge 3 Mandag</v>
      </c>
      <c r="BE61" s="163">
        <f>COUNTIFS($AZ$5:$AZ$35,"ma",marts,"Særlig uge 3")</f>
        <v>0</v>
      </c>
      <c r="BF61" s="177"/>
      <c r="BG61" s="177"/>
      <c r="BH61" s="177"/>
      <c r="BI61" s="177"/>
      <c r="BJ61" s="177"/>
      <c r="BK61" s="497" t="str">
        <f>BD61</f>
        <v>Sær. uge 3 Mandag</v>
      </c>
      <c r="BL61" s="163">
        <f>COUNTIFS($BG$5:$BG$34,"ma",april,"Særlig uge 3")</f>
        <v>0</v>
      </c>
      <c r="BM61" s="177"/>
      <c r="BN61" s="177"/>
      <c r="BO61" s="177"/>
      <c r="BP61" s="177"/>
      <c r="BQ61" s="177"/>
      <c r="BR61" s="497" t="str">
        <f>BK61</f>
        <v>Sær. uge 3 Mandag</v>
      </c>
      <c r="BS61" s="163">
        <f>COUNTIFS($BN$5:$BN$35,"ma",maj,"Særlig uge 3")</f>
        <v>0</v>
      </c>
      <c r="BT61" s="177"/>
      <c r="BU61" s="177"/>
      <c r="BV61" s="177"/>
      <c r="BW61" s="177"/>
      <c r="BX61" s="177"/>
      <c r="BY61" s="497" t="str">
        <f>BR61</f>
        <v>Sær. uge 3 Mandag</v>
      </c>
      <c r="BZ61" s="163">
        <f>COUNTIFS($BU$5:$BU$34,"ma",juni,"Særlig uge 3")</f>
        <v>0</v>
      </c>
      <c r="CA61" s="116"/>
      <c r="CB61" s="116"/>
      <c r="CC61" s="116"/>
      <c r="CD61" s="116"/>
      <c r="CF61" s="497" t="str">
        <f>BY61</f>
        <v>Sær. uge 3 Mandag</v>
      </c>
      <c r="CG61" s="163">
        <f>COUNTIFS($CB$5:$CB$35,"ma",juli,"Særlig uge 3")</f>
        <v>0</v>
      </c>
      <c r="CI61" s="260" t="str">
        <f>CF61</f>
        <v>Sær. uge 3 Mandag</v>
      </c>
      <c r="CJ61" s="281">
        <f>CG61+BZ61+BS61+BL61+BE61+AX61+AQ61+AJ61+AC61+V61+O61+H61</f>
        <v>0</v>
      </c>
    </row>
    <row r="62" spans="1:88">
      <c r="A62" s="554" t="s">
        <v>59</v>
      </c>
      <c r="E62" s="177"/>
      <c r="G62" s="613" t="s">
        <v>235</v>
      </c>
      <c r="H62" s="258">
        <f>COUNTIFS($C$5:$C$35,"ti",august,"særlig uge 3")</f>
        <v>0</v>
      </c>
      <c r="I62" s="177"/>
      <c r="J62" s="177"/>
      <c r="K62" s="177"/>
      <c r="L62" s="177"/>
      <c r="M62" s="177"/>
      <c r="N62" s="613" t="str">
        <f t="shared" ref="N62:N65" si="65">G62</f>
        <v>Sær. uge 3 Tirsdag</v>
      </c>
      <c r="O62" s="258">
        <f>COUNTIFS($J$5:$J$34,"ti",september,"særlig uge 3")</f>
        <v>0</v>
      </c>
      <c r="P62" s="177"/>
      <c r="Q62" s="177"/>
      <c r="R62" s="177"/>
      <c r="S62" s="177"/>
      <c r="T62" s="177"/>
      <c r="U62" s="498" t="str">
        <f t="shared" ref="U62:U65" si="66">N62</f>
        <v>Sær. uge 3 Tirsdag</v>
      </c>
      <c r="V62" s="168">
        <f>COUNTIFS($Q$5:$Q$35,"ti",oktober,"særlig uge 3")</f>
        <v>0</v>
      </c>
      <c r="W62" s="177"/>
      <c r="X62" s="177"/>
      <c r="Y62" s="177"/>
      <c r="Z62" s="177"/>
      <c r="AA62" s="177"/>
      <c r="AB62" s="498" t="str">
        <f t="shared" ref="AB62:AB65" si="67">U62</f>
        <v>Sær. uge 3 Tirsdag</v>
      </c>
      <c r="AC62" s="168">
        <f>COUNTIFS($X$5:$X$34,"ti",november,"Særlig uge 3")</f>
        <v>0</v>
      </c>
      <c r="AD62" s="177"/>
      <c r="AE62" s="177"/>
      <c r="AF62" s="177"/>
      <c r="AG62" s="177"/>
      <c r="AH62" s="177"/>
      <c r="AI62" s="498" t="str">
        <f t="shared" ref="AI62:AI65" si="68">AB62</f>
        <v>Sær. uge 3 Tirsdag</v>
      </c>
      <c r="AJ62" s="168">
        <f>COUNTIFS($AE$5:$AE$35,"ti",december,"Særlig uge 3")</f>
        <v>0</v>
      </c>
      <c r="AK62" s="177"/>
      <c r="AL62" s="177"/>
      <c r="AM62" s="177"/>
      <c r="AN62" s="179"/>
      <c r="AO62" s="177"/>
      <c r="AP62" s="498" t="str">
        <f t="shared" ref="AP62:AP65" si="69">AI62</f>
        <v>Sær. uge 3 Tirsdag</v>
      </c>
      <c r="AQ62" s="168">
        <f>COUNTIFS($AL$5:$AL$35,"ti",januar,"Særlig uge 3")</f>
        <v>0</v>
      </c>
      <c r="AR62" s="177"/>
      <c r="AS62" s="177"/>
      <c r="AT62" s="177"/>
      <c r="AU62" s="179"/>
      <c r="AV62" s="177"/>
      <c r="AW62" s="498" t="str">
        <f t="shared" ref="AW62:AW65" si="70">AP62</f>
        <v>Sær. uge 3 Tirsdag</v>
      </c>
      <c r="AX62" s="168">
        <f>COUNTIFS($AS$5:$AS$33,"ti",februar,"Særlig uge 3")</f>
        <v>0</v>
      </c>
      <c r="AY62" s="177"/>
      <c r="AZ62" s="177"/>
      <c r="BA62" s="177"/>
      <c r="BB62" s="179"/>
      <c r="BC62" s="177"/>
      <c r="BD62" s="498" t="str">
        <f t="shared" ref="BD62:BD65" si="71">AW62</f>
        <v>Sær. uge 3 Tirsdag</v>
      </c>
      <c r="BE62" s="168">
        <f>COUNTIFS($AZ$5:$AZ$35,"ti",marts,"Særlig uge 3")</f>
        <v>0</v>
      </c>
      <c r="BF62" s="177"/>
      <c r="BG62" s="177"/>
      <c r="BH62" s="177"/>
      <c r="BI62" s="177"/>
      <c r="BJ62" s="177"/>
      <c r="BK62" s="498" t="str">
        <f t="shared" ref="BK62:BK65" si="72">BD62</f>
        <v>Sær. uge 3 Tirsdag</v>
      </c>
      <c r="BL62" s="168">
        <f>COUNTIFS($BG$5:$BG$34,"ti",april,"Særlig uge 3")</f>
        <v>0</v>
      </c>
      <c r="BM62" s="177"/>
      <c r="BN62" s="177"/>
      <c r="BO62" s="177"/>
      <c r="BP62" s="177"/>
      <c r="BQ62" s="177"/>
      <c r="BR62" s="498" t="str">
        <f t="shared" ref="BR62:BR65" si="73">BK62</f>
        <v>Sær. uge 3 Tirsdag</v>
      </c>
      <c r="BS62" s="168">
        <f>COUNTIFS($BN$5:$BN$35,"ti",maj,"Særlig uge 3")</f>
        <v>0</v>
      </c>
      <c r="BT62" s="177"/>
      <c r="BU62" s="177"/>
      <c r="BV62" s="177"/>
      <c r="BW62" s="177"/>
      <c r="BX62" s="177"/>
      <c r="BY62" s="498" t="str">
        <f t="shared" ref="BY62:BY65" si="74">BR62</f>
        <v>Sær. uge 3 Tirsdag</v>
      </c>
      <c r="BZ62" s="168">
        <f>COUNTIFS($BU$5:$BU$34,"ti",juni,"Særlig uge 3")</f>
        <v>0</v>
      </c>
      <c r="CA62" s="116"/>
      <c r="CB62" s="116"/>
      <c r="CC62" s="116"/>
      <c r="CD62" s="116"/>
      <c r="CF62" s="498" t="str">
        <f t="shared" ref="CF62:CF65" si="75">BY62</f>
        <v>Sær. uge 3 Tirsdag</v>
      </c>
      <c r="CG62" s="168">
        <f>COUNTIFS($CB$5:$CB$35,"ti",juli,"Særlig uge 3")</f>
        <v>0</v>
      </c>
      <c r="CI62" s="617" t="str">
        <f>CF62</f>
        <v>Sær. uge 3 Tirsdag</v>
      </c>
      <c r="CJ62" s="618">
        <f>CG62+BZ62+BS62+BL62+BE62+AX62+AQ62+AJ62+AC62+V62+O62+H62</f>
        <v>0</v>
      </c>
    </row>
    <row r="63" spans="1:88">
      <c r="A63" s="556" t="s">
        <v>79</v>
      </c>
      <c r="E63" s="177"/>
      <c r="F63" s="177"/>
      <c r="G63" s="613" t="s">
        <v>236</v>
      </c>
      <c r="H63" s="258">
        <f>COUNTIFS($C$5:$C$35,"on",august,"særlig uge 3")</f>
        <v>0</v>
      </c>
      <c r="I63" s="177"/>
      <c r="J63" s="177"/>
      <c r="K63" s="177"/>
      <c r="L63" s="177"/>
      <c r="M63" s="177"/>
      <c r="N63" s="613" t="str">
        <f t="shared" si="65"/>
        <v>Sær. uge 3 Onsdag</v>
      </c>
      <c r="O63" s="258">
        <f>COUNTIFS($J$5:$J$34,"on",september,"særlig uge 3")</f>
        <v>0</v>
      </c>
      <c r="P63" s="177"/>
      <c r="Q63" s="177"/>
      <c r="R63" s="177"/>
      <c r="S63" s="177"/>
      <c r="T63" s="177"/>
      <c r="U63" s="498" t="str">
        <f t="shared" si="66"/>
        <v>Sær. uge 3 Onsdag</v>
      </c>
      <c r="V63" s="168">
        <f>COUNTIFS($Q$5:$Q$35,"on",oktober,"særlig uge 3")</f>
        <v>0</v>
      </c>
      <c r="W63" s="177"/>
      <c r="X63" s="177"/>
      <c r="Y63" s="177"/>
      <c r="Z63" s="177"/>
      <c r="AA63" s="177"/>
      <c r="AB63" s="498" t="str">
        <f t="shared" si="67"/>
        <v>Sær. uge 3 Onsdag</v>
      </c>
      <c r="AC63" s="168">
        <f>COUNTIFS($X$5:$X$34,"on",november,"Særlig uge 3")</f>
        <v>0</v>
      </c>
      <c r="AD63" s="177"/>
      <c r="AE63" s="177"/>
      <c r="AF63" s="177"/>
      <c r="AG63" s="177"/>
      <c r="AH63" s="177"/>
      <c r="AI63" s="498" t="str">
        <f t="shared" si="68"/>
        <v>Sær. uge 3 Onsdag</v>
      </c>
      <c r="AJ63" s="168">
        <f>COUNTIFS($AE$5:$AE$35,"on",december,"Særlig uge 3")</f>
        <v>0</v>
      </c>
      <c r="AK63" s="177"/>
      <c r="AL63" s="177"/>
      <c r="AM63" s="177"/>
      <c r="AN63" s="179"/>
      <c r="AO63" s="177"/>
      <c r="AP63" s="498" t="str">
        <f t="shared" si="69"/>
        <v>Sær. uge 3 Onsdag</v>
      </c>
      <c r="AQ63" s="168">
        <f>COUNTIFS($AL$5:$AL$35,"on",januar,"Særlig uge 3")</f>
        <v>0</v>
      </c>
      <c r="AR63" s="177"/>
      <c r="AS63" s="177"/>
      <c r="AT63" s="177"/>
      <c r="AU63" s="179"/>
      <c r="AV63" s="177"/>
      <c r="AW63" s="498" t="str">
        <f t="shared" si="70"/>
        <v>Sær. uge 3 Onsdag</v>
      </c>
      <c r="AX63" s="168">
        <f>COUNTIFS($AS$5:$AS$33,"on",februar,"Særlig uge 3")</f>
        <v>0</v>
      </c>
      <c r="AY63" s="177"/>
      <c r="AZ63" s="177"/>
      <c r="BA63" s="177"/>
      <c r="BB63" s="179"/>
      <c r="BC63" s="177"/>
      <c r="BD63" s="498" t="str">
        <f t="shared" si="71"/>
        <v>Sær. uge 3 Onsdag</v>
      </c>
      <c r="BE63" s="168">
        <f>COUNTIFS($AZ$5:$AZ$35,"on",marts,"Særlig uge 3")</f>
        <v>0</v>
      </c>
      <c r="BF63" s="177"/>
      <c r="BG63" s="177"/>
      <c r="BH63" s="177"/>
      <c r="BI63" s="177"/>
      <c r="BJ63" s="177"/>
      <c r="BK63" s="498" t="str">
        <f t="shared" si="72"/>
        <v>Sær. uge 3 Onsdag</v>
      </c>
      <c r="BL63" s="168">
        <f>COUNTIFS($BG$5:$BG$34,"on",april,"Særlig uge 3")</f>
        <v>0</v>
      </c>
      <c r="BM63" s="177"/>
      <c r="BN63" s="177"/>
      <c r="BO63" s="177"/>
      <c r="BP63" s="177"/>
      <c r="BQ63" s="177"/>
      <c r="BR63" s="498" t="str">
        <f t="shared" si="73"/>
        <v>Sær. uge 3 Onsdag</v>
      </c>
      <c r="BS63" s="168">
        <f>COUNTIFS($BN$5:$BN$35,"on",maj,"Særlig uge 3")</f>
        <v>0</v>
      </c>
      <c r="BT63" s="177"/>
      <c r="BU63" s="177"/>
      <c r="BV63" s="177"/>
      <c r="BW63" s="177"/>
      <c r="BX63" s="177"/>
      <c r="BY63" s="498" t="str">
        <f t="shared" si="74"/>
        <v>Sær. uge 3 Onsdag</v>
      </c>
      <c r="BZ63" s="168">
        <f>COUNTIFS($BU$5:$BU$34,"on",juni,"Særlig uge 3")</f>
        <v>0</v>
      </c>
      <c r="CF63" s="498" t="str">
        <f t="shared" si="75"/>
        <v>Sær. uge 3 Onsdag</v>
      </c>
      <c r="CG63" s="168">
        <f>COUNTIFS($CB$5:$CB$35,"on",juli,"Særlig uge 3")</f>
        <v>0</v>
      </c>
      <c r="CI63" s="617" t="str">
        <f>CF63</f>
        <v>Sær. uge 3 Onsdag</v>
      </c>
      <c r="CJ63" s="618">
        <f>CG63+BZ63+BS63+BL63+BE63+AX63+AQ63+AJ63+AC63+V63+O63+H63</f>
        <v>0</v>
      </c>
    </row>
    <row r="64" spans="1:88" ht="20">
      <c r="A64" s="557" t="s">
        <v>71</v>
      </c>
      <c r="E64" s="177"/>
      <c r="F64" s="177"/>
      <c r="G64" s="613" t="s">
        <v>237</v>
      </c>
      <c r="H64" s="258">
        <f>COUNTIFS($C$5:$C$35,"to",august,"særlig uge 3")</f>
        <v>0</v>
      </c>
      <c r="I64" s="177"/>
      <c r="J64" s="177"/>
      <c r="K64" s="177"/>
      <c r="L64" s="177"/>
      <c r="M64" s="177"/>
      <c r="N64" s="613" t="str">
        <f t="shared" si="65"/>
        <v>Sær. uge 3 Torsdag</v>
      </c>
      <c r="O64" s="258">
        <f>COUNTIFS($J$5:$J$34,"to",september,"særlig uge 3")</f>
        <v>0</v>
      </c>
      <c r="P64" s="177"/>
      <c r="Q64" s="177"/>
      <c r="R64" s="177"/>
      <c r="S64" s="177"/>
      <c r="T64" s="177"/>
      <c r="U64" s="498" t="str">
        <f t="shared" si="66"/>
        <v>Sær. uge 3 Torsdag</v>
      </c>
      <c r="V64" s="168">
        <f>COUNTIFS($Q$5:$Q$35,"to",oktober,"særlig uge 3")</f>
        <v>0</v>
      </c>
      <c r="W64" s="177"/>
      <c r="X64" s="177"/>
      <c r="Y64" s="177"/>
      <c r="Z64" s="177"/>
      <c r="AA64" s="177"/>
      <c r="AB64" s="498" t="str">
        <f t="shared" si="67"/>
        <v>Sær. uge 3 Torsdag</v>
      </c>
      <c r="AC64" s="168">
        <f>COUNTIFS($X$5:$X$34,"to",november,"Særlig uge 3")</f>
        <v>0</v>
      </c>
      <c r="AD64" s="177"/>
      <c r="AE64" s="177"/>
      <c r="AF64" s="177"/>
      <c r="AG64" s="177"/>
      <c r="AH64" s="177"/>
      <c r="AI64" s="498" t="str">
        <f t="shared" si="68"/>
        <v>Sær. uge 3 Torsdag</v>
      </c>
      <c r="AJ64" s="168">
        <f>COUNTIFS($AE$5:$AE$35,"to",december,"Særlig uge 3")</f>
        <v>0</v>
      </c>
      <c r="AK64" s="177"/>
      <c r="AL64" s="177"/>
      <c r="AM64" s="177"/>
      <c r="AN64" s="179"/>
      <c r="AO64" s="177"/>
      <c r="AP64" s="498" t="str">
        <f t="shared" si="69"/>
        <v>Sær. uge 3 Torsdag</v>
      </c>
      <c r="AQ64" s="168">
        <f>COUNTIFS($AL$5:$AL$35,"to",januar,"Særlig uge 3")</f>
        <v>0</v>
      </c>
      <c r="AR64" s="177"/>
      <c r="AS64" s="177"/>
      <c r="AT64" s="177"/>
      <c r="AU64" s="179"/>
      <c r="AV64" s="177"/>
      <c r="AW64" s="498" t="str">
        <f t="shared" si="70"/>
        <v>Sær. uge 3 Torsdag</v>
      </c>
      <c r="AX64" s="168">
        <f>COUNTIFS($AS$5:$AS$33,"to",februar,"Særlig uge 3")</f>
        <v>0</v>
      </c>
      <c r="AY64" s="177"/>
      <c r="AZ64" s="177"/>
      <c r="BA64" s="177"/>
      <c r="BB64" s="179"/>
      <c r="BC64" s="177"/>
      <c r="BD64" s="498" t="str">
        <f t="shared" si="71"/>
        <v>Sær. uge 3 Torsdag</v>
      </c>
      <c r="BE64" s="168">
        <f>COUNTIFS($AZ$5:$AZ$35,"to",marts,"Særlig uge 3")</f>
        <v>0</v>
      </c>
      <c r="BF64" s="177"/>
      <c r="BG64" s="177"/>
      <c r="BH64" s="177"/>
      <c r="BI64" s="177"/>
      <c r="BJ64" s="177"/>
      <c r="BK64" s="498" t="str">
        <f t="shared" si="72"/>
        <v>Sær. uge 3 Torsdag</v>
      </c>
      <c r="BL64" s="168">
        <f>COUNTIFS($BG$5:$BG$34,"to",april,"Særlig uge 3")</f>
        <v>0</v>
      </c>
      <c r="BM64" s="177"/>
      <c r="BN64" s="177"/>
      <c r="BO64" s="177"/>
      <c r="BP64" s="177"/>
      <c r="BQ64" s="177"/>
      <c r="BR64" s="498" t="str">
        <f t="shared" si="73"/>
        <v>Sær. uge 3 Torsdag</v>
      </c>
      <c r="BS64" s="168">
        <f>COUNTIFS($BN$5:$BN$35,"to",maj,"Særlig uge 3")</f>
        <v>0</v>
      </c>
      <c r="BT64" s="177"/>
      <c r="BU64" s="177"/>
      <c r="BV64" s="177"/>
      <c r="BW64" s="177"/>
      <c r="BX64" s="177"/>
      <c r="BY64" s="498" t="str">
        <f t="shared" si="74"/>
        <v>Sær. uge 3 Torsdag</v>
      </c>
      <c r="BZ64" s="168">
        <f>COUNTIFS($BU$5:$BU$34,"to",juni,"Særlig uge 3")</f>
        <v>0</v>
      </c>
      <c r="CF64" s="498" t="str">
        <f t="shared" si="75"/>
        <v>Sær. uge 3 Torsdag</v>
      </c>
      <c r="CG64" s="168">
        <f>COUNTIFS($CB$5:$CB$35,"to",juli,"Særlig uge 3")</f>
        <v>0</v>
      </c>
      <c r="CI64" s="617" t="str">
        <f>CF64</f>
        <v>Sær. uge 3 Torsdag</v>
      </c>
      <c r="CJ64" s="618">
        <f>CG64+BZ64+BS64+BL64+BE64+AX64+AQ64+AJ64+AC64+V64+O64+H64</f>
        <v>0</v>
      </c>
    </row>
    <row r="65" spans="1:88" ht="16">
      <c r="A65" s="558" t="s">
        <v>72</v>
      </c>
      <c r="E65" s="177"/>
      <c r="F65" s="177"/>
      <c r="G65" s="614" t="s">
        <v>238</v>
      </c>
      <c r="H65" s="259">
        <f>COUNTIFS($C$5:$C$35,"fr",august,"særlig uge 3")</f>
        <v>0</v>
      </c>
      <c r="I65" s="177"/>
      <c r="J65" s="177"/>
      <c r="K65" s="177"/>
      <c r="L65" s="177"/>
      <c r="M65" s="177"/>
      <c r="N65" s="614" t="str">
        <f t="shared" si="65"/>
        <v>Sær. uge 3 Fredag</v>
      </c>
      <c r="O65" s="259">
        <f>COUNTIFS($J$5:$J$34,"fr",september,"særlig uge 3")</f>
        <v>0</v>
      </c>
      <c r="P65" s="177"/>
      <c r="Q65" s="177"/>
      <c r="R65" s="177"/>
      <c r="S65" s="177"/>
      <c r="T65" s="177"/>
      <c r="U65" s="499" t="str">
        <f t="shared" si="66"/>
        <v>Sær. uge 3 Fredag</v>
      </c>
      <c r="V65" s="170">
        <f>COUNTIFS($Q$5:$Q$35,"fr",oktober,"særlig uge 3")</f>
        <v>0</v>
      </c>
      <c r="W65" s="177"/>
      <c r="X65" s="177"/>
      <c r="Y65" s="177"/>
      <c r="Z65" s="177"/>
      <c r="AA65" s="177"/>
      <c r="AB65" s="499" t="str">
        <f t="shared" si="67"/>
        <v>Sær. uge 3 Fredag</v>
      </c>
      <c r="AC65" s="170">
        <f>COUNTIFS($X$5:$X$34,"fr",november,"Særlig uge 3")</f>
        <v>0</v>
      </c>
      <c r="AD65" s="177"/>
      <c r="AE65" s="177"/>
      <c r="AF65" s="177"/>
      <c r="AG65" s="177"/>
      <c r="AH65" s="177"/>
      <c r="AI65" s="499" t="str">
        <f t="shared" si="68"/>
        <v>Sær. uge 3 Fredag</v>
      </c>
      <c r="AJ65" s="170">
        <f>COUNTIFS($AE$5:$AE$35,"fr",december,"Særlig uge 3")</f>
        <v>0</v>
      </c>
      <c r="AK65" s="177"/>
      <c r="AL65" s="177"/>
      <c r="AM65" s="177"/>
      <c r="AN65" s="179"/>
      <c r="AO65" s="177"/>
      <c r="AP65" s="499" t="str">
        <f t="shared" si="69"/>
        <v>Sær. uge 3 Fredag</v>
      </c>
      <c r="AQ65" s="170">
        <f>COUNTIFS($AL$5:$AL$35,"fr",januar,"Særlig uge 3")</f>
        <v>0</v>
      </c>
      <c r="AR65" s="177"/>
      <c r="AS65" s="177"/>
      <c r="AT65" s="177"/>
      <c r="AU65" s="179"/>
      <c r="AV65" s="177"/>
      <c r="AW65" s="499" t="str">
        <f t="shared" si="70"/>
        <v>Sær. uge 3 Fredag</v>
      </c>
      <c r="AX65" s="170">
        <f>COUNTIFS($AS$5:$AS$33,"fr",februar,"Særlig uge 3")</f>
        <v>0</v>
      </c>
      <c r="AY65" s="177"/>
      <c r="AZ65" s="177"/>
      <c r="BA65" s="177"/>
      <c r="BB65" s="179"/>
      <c r="BC65" s="177"/>
      <c r="BD65" s="499" t="str">
        <f t="shared" si="71"/>
        <v>Sær. uge 3 Fredag</v>
      </c>
      <c r="BE65" s="170">
        <f>COUNTIFS($AZ$5:$AZ$35,"fr",marts,"Særlig uge 3")</f>
        <v>0</v>
      </c>
      <c r="BF65" s="177"/>
      <c r="BG65" s="177"/>
      <c r="BH65" s="177"/>
      <c r="BI65" s="177"/>
      <c r="BJ65" s="177"/>
      <c r="BK65" s="499" t="str">
        <f t="shared" si="72"/>
        <v>Sær. uge 3 Fredag</v>
      </c>
      <c r="BL65" s="170">
        <f>COUNTIFS($BG$5:$BG$34,"fr",april,"Særlig uge 3")</f>
        <v>0</v>
      </c>
      <c r="BM65" s="177"/>
      <c r="BN65" s="177"/>
      <c r="BO65" s="177"/>
      <c r="BP65" s="177"/>
      <c r="BQ65" s="177"/>
      <c r="BR65" s="499" t="str">
        <f t="shared" si="73"/>
        <v>Sær. uge 3 Fredag</v>
      </c>
      <c r="BS65" s="170">
        <f>COUNTIFS($BN$5:$BN$35,"fr",maj,"Særlig uge 3")</f>
        <v>0</v>
      </c>
      <c r="BT65" s="177"/>
      <c r="BU65" s="177"/>
      <c r="BV65" s="177"/>
      <c r="BW65" s="177"/>
      <c r="BX65" s="177"/>
      <c r="BY65" s="499" t="str">
        <f t="shared" si="74"/>
        <v>Sær. uge 3 Fredag</v>
      </c>
      <c r="BZ65" s="170">
        <f>COUNTIFS($BU$5:$BU$34,"fr",juni,"Særlig uge 3")</f>
        <v>0</v>
      </c>
      <c r="CF65" s="499" t="str">
        <f t="shared" si="75"/>
        <v>Sær. uge 3 Fredag</v>
      </c>
      <c r="CG65" s="170">
        <f>COUNTIFS($CB$5:$CB$35,"fr",juli,"Særlig uge 3")</f>
        <v>0</v>
      </c>
      <c r="CI65" s="619" t="str">
        <f>CF65</f>
        <v>Sær. uge 3 Fredag</v>
      </c>
      <c r="CJ65" s="620">
        <f>CG65+BZ65+BS65+BL65+BE65+AX65+AQ65+AJ65+AC65+V65+O65+H65</f>
        <v>0</v>
      </c>
    </row>
    <row r="66" spans="1:88" ht="16">
      <c r="A66" s="558" t="s">
        <v>73</v>
      </c>
      <c r="E66" s="177"/>
      <c r="F66" s="177"/>
      <c r="I66" s="177"/>
      <c r="J66" s="177"/>
      <c r="K66" s="177"/>
      <c r="L66" s="177"/>
      <c r="M66" s="177"/>
      <c r="N66" s="177"/>
      <c r="O66" s="177"/>
      <c r="P66" s="177"/>
      <c r="Q66" s="177"/>
      <c r="R66" s="177"/>
      <c r="S66" s="177"/>
      <c r="T66" s="177"/>
      <c r="U66" s="116"/>
      <c r="V66" s="503"/>
      <c r="W66" s="177"/>
      <c r="X66" s="177"/>
      <c r="Y66" s="177"/>
      <c r="Z66" s="177"/>
      <c r="AA66" s="177"/>
      <c r="AB66" s="116"/>
      <c r="AC66" s="503"/>
      <c r="AD66" s="177"/>
      <c r="AE66" s="177"/>
      <c r="AF66" s="177"/>
      <c r="AG66" s="177"/>
      <c r="AH66" s="177"/>
      <c r="AI66" s="116"/>
      <c r="AJ66" s="503"/>
      <c r="AK66" s="177"/>
      <c r="AL66" s="177"/>
      <c r="AM66" s="177"/>
      <c r="AN66" s="179"/>
      <c r="AO66" s="177"/>
      <c r="AP66" s="116"/>
      <c r="AQ66" s="503"/>
      <c r="AR66" s="177"/>
      <c r="AS66" s="177"/>
      <c r="AT66" s="177"/>
      <c r="AU66" s="179"/>
      <c r="AV66" s="177"/>
      <c r="AW66" s="116"/>
      <c r="AX66" s="503"/>
      <c r="AY66" s="177"/>
      <c r="AZ66" s="177"/>
      <c r="BA66" s="177"/>
      <c r="BB66" s="179"/>
      <c r="BC66" s="177"/>
      <c r="BD66" s="116"/>
      <c r="BE66" s="503"/>
      <c r="BF66" s="177"/>
      <c r="BG66" s="177"/>
      <c r="BH66" s="177"/>
      <c r="BI66" s="177"/>
      <c r="BJ66" s="177"/>
      <c r="BK66" s="116"/>
      <c r="BL66" s="503"/>
      <c r="BM66" s="177"/>
      <c r="BN66" s="177"/>
      <c r="BO66" s="177"/>
      <c r="BP66" s="177"/>
      <c r="BQ66" s="177"/>
      <c r="BR66" s="116"/>
      <c r="BS66" s="503"/>
      <c r="BT66" s="177"/>
      <c r="BU66" s="177"/>
      <c r="BV66" s="177"/>
      <c r="BW66" s="177"/>
      <c r="BX66" s="177"/>
      <c r="BY66" s="116"/>
      <c r="BZ66" s="503"/>
      <c r="CF66" s="116"/>
      <c r="CG66" s="116"/>
    </row>
    <row r="67" spans="1:88" ht="16">
      <c r="A67" s="558" t="s">
        <v>74</v>
      </c>
      <c r="E67" s="177"/>
      <c r="F67" s="177"/>
      <c r="G67" s="612" t="s">
        <v>239</v>
      </c>
      <c r="H67" s="257">
        <f>COUNTIFS($C$5:$C$35,"ma",august,"særlig uge 4")</f>
        <v>0</v>
      </c>
      <c r="I67" s="177"/>
      <c r="J67" s="177"/>
      <c r="K67" s="177"/>
      <c r="L67" s="177"/>
      <c r="M67" s="177"/>
      <c r="N67" s="612" t="str">
        <f>G67</f>
        <v>Sær. uge 4 Mandag</v>
      </c>
      <c r="O67" s="257">
        <f>COUNTIFS($J$5:$J$34,"ma",september,"særlig uge 4")</f>
        <v>0</v>
      </c>
      <c r="P67" s="177"/>
      <c r="Q67" s="177"/>
      <c r="R67" s="177"/>
      <c r="S67" s="177"/>
      <c r="T67" s="177"/>
      <c r="U67" s="500" t="str">
        <f>N67</f>
        <v>Sær. uge 4 Mandag</v>
      </c>
      <c r="V67" s="257">
        <f>COUNTIFS($Q$5:$Q$35,"ma",oktober,"særlig uge 4")</f>
        <v>0</v>
      </c>
      <c r="W67" s="177"/>
      <c r="X67" s="177"/>
      <c r="Y67" s="177"/>
      <c r="Z67" s="177"/>
      <c r="AA67" s="177"/>
      <c r="AB67" s="500" t="str">
        <f>U67</f>
        <v>Sær. uge 4 Mandag</v>
      </c>
      <c r="AC67" s="257">
        <f>COUNTIFS($X$5:$X$34,"ma",november,"Særlig uge 4")</f>
        <v>0</v>
      </c>
      <c r="AD67" s="177"/>
      <c r="AE67" s="177"/>
      <c r="AF67" s="177"/>
      <c r="AG67" s="177"/>
      <c r="AH67" s="177"/>
      <c r="AI67" s="500" t="str">
        <f>AB67</f>
        <v>Sær. uge 4 Mandag</v>
      </c>
      <c r="AJ67" s="257">
        <f>COUNTIFS($AE$5:$AE$35,"ma",december,"Særlig uge 4")</f>
        <v>0</v>
      </c>
      <c r="AK67" s="177"/>
      <c r="AL67" s="177"/>
      <c r="AM67" s="177"/>
      <c r="AN67" s="179"/>
      <c r="AO67" s="177"/>
      <c r="AP67" s="500" t="str">
        <f>AI67</f>
        <v>Sær. uge 4 Mandag</v>
      </c>
      <c r="AQ67" s="257">
        <f>COUNTIFS($AL$5:$AL$35,"ma",januar,"Særlig uge 4")</f>
        <v>0</v>
      </c>
      <c r="AR67" s="177"/>
      <c r="AS67" s="177"/>
      <c r="AT67" s="177"/>
      <c r="AU67" s="179"/>
      <c r="AV67" s="177"/>
      <c r="AW67" s="500" t="str">
        <f>AP67</f>
        <v>Sær. uge 4 Mandag</v>
      </c>
      <c r="AX67" s="257">
        <f>COUNTIFS($AS$5:$AS$33,"ma",februar,"Særlig uge 4")</f>
        <v>0</v>
      </c>
      <c r="AY67" s="177"/>
      <c r="AZ67" s="177"/>
      <c r="BA67" s="177"/>
      <c r="BB67" s="179"/>
      <c r="BC67" s="177"/>
      <c r="BD67" s="500" t="str">
        <f>AW67</f>
        <v>Sær. uge 4 Mandag</v>
      </c>
      <c r="BE67" s="257">
        <f>COUNTIFS($AZ$5:$AZ$35,"ma",marts,"Særlig uge 4")</f>
        <v>0</v>
      </c>
      <c r="BF67" s="177"/>
      <c r="BG67" s="177"/>
      <c r="BH67" s="177"/>
      <c r="BI67" s="177"/>
      <c r="BJ67" s="177"/>
      <c r="BK67" s="500" t="str">
        <f>BD67</f>
        <v>Sær. uge 4 Mandag</v>
      </c>
      <c r="BL67" s="257">
        <f>COUNTIFS($BG$5:$BG$34,"ma",april,"Særlig uge 4")</f>
        <v>0</v>
      </c>
      <c r="BM67" s="177"/>
      <c r="BN67" s="177"/>
      <c r="BO67" s="177"/>
      <c r="BP67" s="177"/>
      <c r="BQ67" s="177"/>
      <c r="BR67" s="500" t="str">
        <f>BK67</f>
        <v>Sær. uge 4 Mandag</v>
      </c>
      <c r="BS67" s="257">
        <f>COUNTIFS($BN$5:$BN$35,"ma",maj,"Særlig uge 4")</f>
        <v>0</v>
      </c>
      <c r="BT67" s="177"/>
      <c r="BU67" s="177"/>
      <c r="BV67" s="177"/>
      <c r="BW67" s="177"/>
      <c r="BX67" s="177"/>
      <c r="BY67" s="500" t="str">
        <f>BR67</f>
        <v>Sær. uge 4 Mandag</v>
      </c>
      <c r="BZ67" s="257">
        <f>COUNTIFS($BU$5:$BU$34,"ma",juni,"Særlig uge 4")</f>
        <v>0</v>
      </c>
      <c r="CF67" s="500" t="str">
        <f>BY67</f>
        <v>Sær. uge 4 Mandag</v>
      </c>
      <c r="CG67" s="257">
        <f>COUNTIFS($CB$5:$CB$35,"ma",juli,"Særlig uge 4")</f>
        <v>0</v>
      </c>
      <c r="CI67" s="260" t="str">
        <f>CF67</f>
        <v>Sær. uge 4 Mandag</v>
      </c>
      <c r="CJ67" s="281">
        <f>CG67+BZ67+BS67+BL67+BE67+AX67+AQ67+AJ67+AC67+V67+O67+H67</f>
        <v>0</v>
      </c>
    </row>
    <row r="68" spans="1:88" ht="16">
      <c r="A68" s="558" t="s">
        <v>75</v>
      </c>
      <c r="E68" s="177"/>
      <c r="F68" s="177"/>
      <c r="G68" s="613" t="s">
        <v>240</v>
      </c>
      <c r="H68" s="258">
        <f>COUNTIFS($C$5:$C$35,"ti",august,"særlig uge 4")</f>
        <v>0</v>
      </c>
      <c r="I68" s="177"/>
      <c r="J68" s="177"/>
      <c r="K68" s="177"/>
      <c r="L68" s="177"/>
      <c r="M68" s="177"/>
      <c r="N68" s="613" t="str">
        <f t="shared" ref="N68:N71" si="76">G68</f>
        <v>Sær. uge 4 Tirsdag</v>
      </c>
      <c r="O68" s="258">
        <f>COUNTIFS($J$5:$J$34,"ti",september,"særlig uge 4")</f>
        <v>0</v>
      </c>
      <c r="P68" s="177"/>
      <c r="Q68" s="177"/>
      <c r="R68" s="177"/>
      <c r="S68" s="177"/>
      <c r="T68" s="177"/>
      <c r="U68" s="501" t="str">
        <f t="shared" ref="U68:U71" si="77">N68</f>
        <v>Sær. uge 4 Tirsdag</v>
      </c>
      <c r="V68" s="258">
        <f>COUNTIFS($Q$5:$Q$35,"ti",oktober,"særlig uge 4")</f>
        <v>0</v>
      </c>
      <c r="W68" s="177"/>
      <c r="X68" s="177"/>
      <c r="Y68" s="177"/>
      <c r="Z68" s="177"/>
      <c r="AA68" s="177"/>
      <c r="AB68" s="501" t="str">
        <f t="shared" ref="AB68:AB71" si="78">U68</f>
        <v>Sær. uge 4 Tirsdag</v>
      </c>
      <c r="AC68" s="258">
        <f>COUNTIFS($X$5:$X$34,"ti",november,"Særlig uge 4")</f>
        <v>0</v>
      </c>
      <c r="AD68" s="177"/>
      <c r="AE68" s="177"/>
      <c r="AF68" s="177"/>
      <c r="AG68" s="177"/>
      <c r="AH68" s="177"/>
      <c r="AI68" s="501" t="str">
        <f t="shared" ref="AI68:AI71" si="79">AB68</f>
        <v>Sær. uge 4 Tirsdag</v>
      </c>
      <c r="AJ68" s="258">
        <f>COUNTIFS($AE$5:$AE$35,"ti",december,"Særlig uge 4")</f>
        <v>0</v>
      </c>
      <c r="AK68" s="177"/>
      <c r="AL68" s="177"/>
      <c r="AM68" s="177"/>
      <c r="AN68" s="179"/>
      <c r="AO68" s="177"/>
      <c r="AP68" s="501" t="str">
        <f t="shared" ref="AP68:AP71" si="80">AI68</f>
        <v>Sær. uge 4 Tirsdag</v>
      </c>
      <c r="AQ68" s="258">
        <f>COUNTIFS($AL$5:$AL$35,"ti",januar,"Særlig uge 4")</f>
        <v>0</v>
      </c>
      <c r="AR68" s="177"/>
      <c r="AS68" s="177"/>
      <c r="AT68" s="177"/>
      <c r="AU68" s="179"/>
      <c r="AV68" s="177"/>
      <c r="AW68" s="501" t="str">
        <f t="shared" ref="AW68:AW71" si="81">AP68</f>
        <v>Sær. uge 4 Tirsdag</v>
      </c>
      <c r="AX68" s="258">
        <f>COUNTIFS($AS$5:$AS$33,"ti",februar,"Særlig uge 4")</f>
        <v>0</v>
      </c>
      <c r="AY68" s="177"/>
      <c r="AZ68" s="177"/>
      <c r="BA68" s="177"/>
      <c r="BB68" s="179"/>
      <c r="BC68" s="177"/>
      <c r="BD68" s="501" t="str">
        <f t="shared" ref="BD68:BD71" si="82">AW68</f>
        <v>Sær. uge 4 Tirsdag</v>
      </c>
      <c r="BE68" s="258">
        <f>COUNTIFS($AZ$5:$AZ$35,"ti",marts,"Særlig uge 4")</f>
        <v>0</v>
      </c>
      <c r="BF68" s="177"/>
      <c r="BG68" s="177"/>
      <c r="BH68" s="177"/>
      <c r="BI68" s="177"/>
      <c r="BJ68" s="177"/>
      <c r="BK68" s="501" t="str">
        <f t="shared" ref="BK68:BK71" si="83">BD68</f>
        <v>Sær. uge 4 Tirsdag</v>
      </c>
      <c r="BL68" s="258">
        <f>COUNTIFS($BG$5:$BG$34,"ti",april,"Særlig uge 4")</f>
        <v>0</v>
      </c>
      <c r="BM68" s="177"/>
      <c r="BN68" s="177"/>
      <c r="BO68" s="177"/>
      <c r="BP68" s="177"/>
      <c r="BQ68" s="177"/>
      <c r="BR68" s="501" t="str">
        <f t="shared" ref="BR68:BR71" si="84">BK68</f>
        <v>Sær. uge 4 Tirsdag</v>
      </c>
      <c r="BS68" s="258">
        <f>COUNTIFS($BN$5:$BN$35,"ti",maj,"Særlig uge 4")</f>
        <v>0</v>
      </c>
      <c r="BT68" s="177"/>
      <c r="BU68" s="177"/>
      <c r="BV68" s="177"/>
      <c r="BW68" s="177"/>
      <c r="BX68" s="177"/>
      <c r="BY68" s="501" t="str">
        <f t="shared" ref="BY68:BY71" si="85">BR68</f>
        <v>Sær. uge 4 Tirsdag</v>
      </c>
      <c r="BZ68" s="258">
        <f>COUNTIFS($BU$5:$BU$34,"ti",juni,"Særlig uge 4")</f>
        <v>0</v>
      </c>
      <c r="CF68" s="501" t="str">
        <f t="shared" ref="CF68:CF71" si="86">BY68</f>
        <v>Sær. uge 4 Tirsdag</v>
      </c>
      <c r="CG68" s="258">
        <f>COUNTIFS($CB$5:$CB$35,"ti",juli,"Særlig uge 4")</f>
        <v>0</v>
      </c>
      <c r="CI68" s="617" t="str">
        <f>CF68</f>
        <v>Sær. uge 4 Tirsdag</v>
      </c>
      <c r="CJ68" s="618">
        <f>CG68+BZ68+BS68+BL68+BE68+AX68+AQ68+AJ68+AC68+V68+O68+H68</f>
        <v>0</v>
      </c>
    </row>
    <row r="69" spans="1:88">
      <c r="A69" s="559"/>
      <c r="E69" s="177"/>
      <c r="F69" s="177"/>
      <c r="G69" s="613" t="s">
        <v>241</v>
      </c>
      <c r="H69" s="258">
        <f>COUNTIFS($C$5:$C$35,"on",august,"særlig uge 4")</f>
        <v>0</v>
      </c>
      <c r="I69" s="177"/>
      <c r="J69" s="177"/>
      <c r="K69" s="177"/>
      <c r="L69" s="177"/>
      <c r="M69" s="177"/>
      <c r="N69" s="613" t="str">
        <f t="shared" si="76"/>
        <v>Sær. uge 4 Onsdag</v>
      </c>
      <c r="O69" s="258">
        <f>COUNTIFS($J$5:$J$34,"on",september,"særlig uge 4")</f>
        <v>0</v>
      </c>
      <c r="P69" s="177"/>
      <c r="Q69" s="177"/>
      <c r="R69" s="177"/>
      <c r="S69" s="177"/>
      <c r="T69" s="177"/>
      <c r="U69" s="501" t="str">
        <f t="shared" si="77"/>
        <v>Sær. uge 4 Onsdag</v>
      </c>
      <c r="V69" s="258">
        <f>COUNTIFS($Q$5:$Q$35,"on",oktober,"særlig uge 4")</f>
        <v>0</v>
      </c>
      <c r="W69" s="177"/>
      <c r="X69" s="177"/>
      <c r="Y69" s="177"/>
      <c r="Z69" s="177"/>
      <c r="AA69" s="177"/>
      <c r="AB69" s="501" t="str">
        <f t="shared" si="78"/>
        <v>Sær. uge 4 Onsdag</v>
      </c>
      <c r="AC69" s="258">
        <f>COUNTIFS($X$5:$X$34,"on",november,"Særlig uge 4")</f>
        <v>0</v>
      </c>
      <c r="AD69" s="177"/>
      <c r="AE69" s="177"/>
      <c r="AF69" s="177"/>
      <c r="AG69" s="177"/>
      <c r="AH69" s="177"/>
      <c r="AI69" s="501" t="str">
        <f t="shared" si="79"/>
        <v>Sær. uge 4 Onsdag</v>
      </c>
      <c r="AJ69" s="258">
        <f>COUNTIFS($AE$5:$AE$35,"on",december,"Særlig uge 4")</f>
        <v>0</v>
      </c>
      <c r="AK69" s="177"/>
      <c r="AL69" s="177"/>
      <c r="AM69" s="177"/>
      <c r="AN69" s="179"/>
      <c r="AO69" s="177"/>
      <c r="AP69" s="501" t="str">
        <f t="shared" si="80"/>
        <v>Sær. uge 4 Onsdag</v>
      </c>
      <c r="AQ69" s="258">
        <f>COUNTIFS($AL$5:$AL$35,"on",januar,"Særlig uge 4")</f>
        <v>0</v>
      </c>
      <c r="AR69" s="177"/>
      <c r="AS69" s="177"/>
      <c r="AT69" s="177"/>
      <c r="AU69" s="179"/>
      <c r="AV69" s="177"/>
      <c r="AW69" s="501" t="str">
        <f t="shared" si="81"/>
        <v>Sær. uge 4 Onsdag</v>
      </c>
      <c r="AX69" s="258">
        <f>COUNTIFS($AS$5:$AS$33,"on",februar,"Særlig uge 4")</f>
        <v>0</v>
      </c>
      <c r="AY69" s="177"/>
      <c r="AZ69" s="177"/>
      <c r="BA69" s="177"/>
      <c r="BB69" s="179"/>
      <c r="BC69" s="177"/>
      <c r="BD69" s="501" t="str">
        <f t="shared" si="82"/>
        <v>Sær. uge 4 Onsdag</v>
      </c>
      <c r="BE69" s="258">
        <f>COUNTIFS($AZ$5:$AZ$35,"on",marts,"Særlig uge 4")</f>
        <v>0</v>
      </c>
      <c r="BF69" s="177"/>
      <c r="BG69" s="177"/>
      <c r="BH69" s="177"/>
      <c r="BI69" s="177"/>
      <c r="BJ69" s="177"/>
      <c r="BK69" s="501" t="str">
        <f t="shared" si="83"/>
        <v>Sær. uge 4 Onsdag</v>
      </c>
      <c r="BL69" s="258">
        <f>COUNTIFS($BG$5:$BG$34,"on",april,"Særlig uge 4")</f>
        <v>0</v>
      </c>
      <c r="BM69" s="177"/>
      <c r="BN69" s="177"/>
      <c r="BO69" s="177"/>
      <c r="BP69" s="177"/>
      <c r="BQ69" s="177"/>
      <c r="BR69" s="501" t="str">
        <f t="shared" si="84"/>
        <v>Sær. uge 4 Onsdag</v>
      </c>
      <c r="BS69" s="258">
        <f>COUNTIFS($BN$5:$BN$35,"on",maj,"Særlig uge 4")</f>
        <v>0</v>
      </c>
      <c r="BT69" s="177"/>
      <c r="BU69" s="177"/>
      <c r="BV69" s="177"/>
      <c r="BW69" s="177"/>
      <c r="BX69" s="177"/>
      <c r="BY69" s="501" t="str">
        <f t="shared" si="85"/>
        <v>Sær. uge 4 Onsdag</v>
      </c>
      <c r="BZ69" s="258">
        <f>COUNTIFS($BU$5:$BU$34,"on",juni,"Særlig uge 4")</f>
        <v>0</v>
      </c>
      <c r="CF69" s="501" t="str">
        <f t="shared" si="86"/>
        <v>Sær. uge 4 Onsdag</v>
      </c>
      <c r="CG69" s="258">
        <f>COUNTIFS($CB$5:$CB$35,"on",juli,"Særlig uge 4")</f>
        <v>0</v>
      </c>
      <c r="CI69" s="617" t="str">
        <f>CF69</f>
        <v>Sær. uge 4 Onsdag</v>
      </c>
      <c r="CJ69" s="618">
        <f>CG69+BZ69+BS69+BL69+BE69+AX69+AQ69+AJ69+AC69+V69+O69+H69</f>
        <v>0</v>
      </c>
    </row>
    <row r="70" spans="1:88">
      <c r="A70" s="559"/>
      <c r="E70" s="177"/>
      <c r="F70" s="177"/>
      <c r="G70" s="613" t="s">
        <v>242</v>
      </c>
      <c r="H70" s="258">
        <f>COUNTIFS($C$5:$C$35,"to",august,"særlig uge 4")</f>
        <v>0</v>
      </c>
      <c r="I70" s="177"/>
      <c r="J70" s="177"/>
      <c r="K70" s="177"/>
      <c r="L70" s="177"/>
      <c r="M70" s="177"/>
      <c r="N70" s="613" t="str">
        <f t="shared" si="76"/>
        <v>Sær. uge 4 Torsdag</v>
      </c>
      <c r="O70" s="258">
        <f>COUNTIFS($J$5:$J$34,"to",september,"særlig uge 4")</f>
        <v>0</v>
      </c>
      <c r="P70" s="177"/>
      <c r="Q70" s="177"/>
      <c r="R70" s="177"/>
      <c r="S70" s="177"/>
      <c r="T70" s="177"/>
      <c r="U70" s="501" t="str">
        <f t="shared" si="77"/>
        <v>Sær. uge 4 Torsdag</v>
      </c>
      <c r="V70" s="258">
        <f>COUNTIFS($Q$5:$Q$35,"to",oktober,"særlig uge 4")</f>
        <v>0</v>
      </c>
      <c r="W70" s="177"/>
      <c r="X70" s="177"/>
      <c r="Y70" s="177"/>
      <c r="Z70" s="177"/>
      <c r="AA70" s="177"/>
      <c r="AB70" s="501" t="str">
        <f t="shared" si="78"/>
        <v>Sær. uge 4 Torsdag</v>
      </c>
      <c r="AC70" s="258">
        <f>COUNTIFS($X$5:$X$34,"to",november,"Særlig uge 4")</f>
        <v>0</v>
      </c>
      <c r="AD70" s="177"/>
      <c r="AE70" s="177"/>
      <c r="AF70" s="177"/>
      <c r="AG70" s="177"/>
      <c r="AH70" s="177"/>
      <c r="AI70" s="501" t="str">
        <f t="shared" si="79"/>
        <v>Sær. uge 4 Torsdag</v>
      </c>
      <c r="AJ70" s="258">
        <f>COUNTIFS($AE$5:$AE$35,"to",december,"Særlig uge 4")</f>
        <v>0</v>
      </c>
      <c r="AK70" s="177"/>
      <c r="AL70" s="177"/>
      <c r="AM70" s="177"/>
      <c r="AN70" s="179"/>
      <c r="AO70" s="177"/>
      <c r="AP70" s="501" t="str">
        <f t="shared" si="80"/>
        <v>Sær. uge 4 Torsdag</v>
      </c>
      <c r="AQ70" s="258">
        <f>COUNTIFS($AL$5:$AL$35,"to",januar,"Særlig uge 4")</f>
        <v>0</v>
      </c>
      <c r="AR70" s="177"/>
      <c r="AS70" s="177"/>
      <c r="AT70" s="177"/>
      <c r="AU70" s="179"/>
      <c r="AV70" s="177"/>
      <c r="AW70" s="501" t="str">
        <f t="shared" si="81"/>
        <v>Sær. uge 4 Torsdag</v>
      </c>
      <c r="AX70" s="258">
        <f>COUNTIFS($AS$5:$AS$33,"to",februar,"Særlig uge 4")</f>
        <v>0</v>
      </c>
      <c r="AY70" s="177"/>
      <c r="AZ70" s="177"/>
      <c r="BA70" s="177"/>
      <c r="BB70" s="179"/>
      <c r="BC70" s="177"/>
      <c r="BD70" s="501" t="str">
        <f t="shared" si="82"/>
        <v>Sær. uge 4 Torsdag</v>
      </c>
      <c r="BE70" s="258">
        <f>COUNTIFS($AZ$5:$AZ$35,"to",marts,"Særlig uge 4")</f>
        <v>0</v>
      </c>
      <c r="BF70" s="177"/>
      <c r="BG70" s="177"/>
      <c r="BH70" s="177"/>
      <c r="BI70" s="177"/>
      <c r="BJ70" s="177"/>
      <c r="BK70" s="501" t="str">
        <f t="shared" si="83"/>
        <v>Sær. uge 4 Torsdag</v>
      </c>
      <c r="BL70" s="258">
        <f>COUNTIFS($BG$5:$BG$34,"to",april,"Særlig uge 4")</f>
        <v>0</v>
      </c>
      <c r="BM70" s="177"/>
      <c r="BN70" s="177"/>
      <c r="BO70" s="177"/>
      <c r="BP70" s="177"/>
      <c r="BQ70" s="177"/>
      <c r="BR70" s="501" t="str">
        <f t="shared" si="84"/>
        <v>Sær. uge 4 Torsdag</v>
      </c>
      <c r="BS70" s="258">
        <f>COUNTIFS($BN$5:$BN$35,"to",maj,"Særlig uge 4")</f>
        <v>0</v>
      </c>
      <c r="BT70" s="177"/>
      <c r="BU70" s="177"/>
      <c r="BV70" s="177"/>
      <c r="BW70" s="177"/>
      <c r="BX70" s="177"/>
      <c r="BY70" s="501" t="str">
        <f t="shared" si="85"/>
        <v>Sær. uge 4 Torsdag</v>
      </c>
      <c r="BZ70" s="258">
        <f>COUNTIFS($BU$5:$BU$34,"to",juni,"Særlig uge 4")</f>
        <v>0</v>
      </c>
      <c r="CF70" s="501" t="str">
        <f t="shared" si="86"/>
        <v>Sær. uge 4 Torsdag</v>
      </c>
      <c r="CG70" s="258">
        <f>COUNTIFS($CB$5:$CB$35,"to",juli,"Særlig uge 4")</f>
        <v>0</v>
      </c>
      <c r="CI70" s="617" t="str">
        <f>CF70</f>
        <v>Sær. uge 4 Torsdag</v>
      </c>
      <c r="CJ70" s="618">
        <f>CG70+BZ70+BS70+BL70+BE70+AX70+AQ70+AJ70+AC70+V70+O70+H70</f>
        <v>0</v>
      </c>
    </row>
    <row r="71" spans="1:88">
      <c r="A71" s="180"/>
      <c r="E71" s="177"/>
      <c r="F71" s="177"/>
      <c r="G71" s="614" t="s">
        <v>243</v>
      </c>
      <c r="H71" s="259">
        <f>COUNTIFS($C$5:$C$35,"fr",august,"særlig uge 4")</f>
        <v>0</v>
      </c>
      <c r="I71" s="177"/>
      <c r="J71" s="177"/>
      <c r="K71" s="177"/>
      <c r="L71" s="177"/>
      <c r="M71" s="177"/>
      <c r="N71" s="614" t="str">
        <f t="shared" si="76"/>
        <v>Sær. uge 4 Fredag</v>
      </c>
      <c r="O71" s="259">
        <f>COUNTIFS($J$5:$J$34,"fr",september,"særlig uge 4")</f>
        <v>0</v>
      </c>
      <c r="P71" s="177"/>
      <c r="Q71" s="177"/>
      <c r="R71" s="177"/>
      <c r="S71" s="177"/>
      <c r="T71" s="177"/>
      <c r="U71" s="502" t="str">
        <f t="shared" si="77"/>
        <v>Sær. uge 4 Fredag</v>
      </c>
      <c r="V71" s="259">
        <f>COUNTIFS($Q$5:$Q$35,"fr",oktober,"særlig uge 4")</f>
        <v>0</v>
      </c>
      <c r="W71" s="177"/>
      <c r="X71" s="177"/>
      <c r="Y71" s="177"/>
      <c r="Z71" s="177"/>
      <c r="AA71" s="177"/>
      <c r="AB71" s="502" t="str">
        <f t="shared" si="78"/>
        <v>Sær. uge 4 Fredag</v>
      </c>
      <c r="AC71" s="259">
        <f>COUNTIFS($X$5:$X$34,"fr",november,"Særlig uge 4")</f>
        <v>0</v>
      </c>
      <c r="AD71" s="177"/>
      <c r="AE71" s="177"/>
      <c r="AF71" s="177"/>
      <c r="AG71" s="177"/>
      <c r="AH71" s="177"/>
      <c r="AI71" s="502" t="str">
        <f t="shared" si="79"/>
        <v>Sær. uge 4 Fredag</v>
      </c>
      <c r="AJ71" s="259">
        <f>COUNTIFS($AE$5:$AE$35,"fr",december,"Særlig uge 4")</f>
        <v>0</v>
      </c>
      <c r="AK71" s="177"/>
      <c r="AL71" s="177"/>
      <c r="AM71" s="177"/>
      <c r="AN71" s="179"/>
      <c r="AO71" s="177"/>
      <c r="AP71" s="502" t="str">
        <f t="shared" si="80"/>
        <v>Sær. uge 4 Fredag</v>
      </c>
      <c r="AQ71" s="259">
        <f>COUNTIFS($AL$5:$AL$35,"fr",januar,"Særlig uge 4")</f>
        <v>0</v>
      </c>
      <c r="AR71" s="177"/>
      <c r="AS71" s="177"/>
      <c r="AT71" s="177"/>
      <c r="AU71" s="179"/>
      <c r="AV71" s="177"/>
      <c r="AW71" s="502" t="str">
        <f t="shared" si="81"/>
        <v>Sær. uge 4 Fredag</v>
      </c>
      <c r="AX71" s="259">
        <f>COUNTIFS($AS$5:$AS$33,"fr",februar,"Særlig uge 4")</f>
        <v>0</v>
      </c>
      <c r="AY71" s="177"/>
      <c r="AZ71" s="177"/>
      <c r="BA71" s="177"/>
      <c r="BB71" s="179"/>
      <c r="BC71" s="177"/>
      <c r="BD71" s="502" t="str">
        <f t="shared" si="82"/>
        <v>Sær. uge 4 Fredag</v>
      </c>
      <c r="BE71" s="259">
        <f>COUNTIFS($AZ$5:$AZ$35,"fr",marts,"Særlig uge 4")</f>
        <v>0</v>
      </c>
      <c r="BF71" s="177"/>
      <c r="BG71" s="177"/>
      <c r="BH71" s="177"/>
      <c r="BI71" s="177"/>
      <c r="BJ71" s="177"/>
      <c r="BK71" s="502" t="str">
        <f t="shared" si="83"/>
        <v>Sær. uge 4 Fredag</v>
      </c>
      <c r="BL71" s="259">
        <f>COUNTIFS($BG$5:$BG$34,"fr",april,"Særlig uge 4")</f>
        <v>0</v>
      </c>
      <c r="BM71" s="177"/>
      <c r="BN71" s="177"/>
      <c r="BO71" s="177"/>
      <c r="BP71" s="177"/>
      <c r="BQ71" s="177"/>
      <c r="BR71" s="502" t="str">
        <f t="shared" si="84"/>
        <v>Sær. uge 4 Fredag</v>
      </c>
      <c r="BS71" s="259">
        <f>COUNTIFS($BN$5:$BN$35,"fr",maj,"Særlig uge 4")</f>
        <v>0</v>
      </c>
      <c r="BT71" s="177"/>
      <c r="BU71" s="177"/>
      <c r="BV71" s="177"/>
      <c r="BW71" s="177"/>
      <c r="BX71" s="177"/>
      <c r="BY71" s="502" t="str">
        <f t="shared" si="85"/>
        <v>Sær. uge 4 Fredag</v>
      </c>
      <c r="BZ71" s="259">
        <f>COUNTIFS($BU$5:$BU$34,"fr",juni,"Særlig uge 4")</f>
        <v>0</v>
      </c>
      <c r="CF71" s="502" t="str">
        <f t="shared" si="86"/>
        <v>Sær. uge 4 Fredag</v>
      </c>
      <c r="CG71" s="259">
        <f>COUNTIFS($CB$5:$CB$35,"fr",juli,"Særlig uge 4")</f>
        <v>0</v>
      </c>
      <c r="CI71" s="619" t="str">
        <f>CF71</f>
        <v>Sær. uge 4 Fredag</v>
      </c>
      <c r="CJ71" s="620">
        <f>CG71+BZ71+BS71+BL71+BE71+AX71+AQ71+AJ71+AC71+V71+O71+H71</f>
        <v>0</v>
      </c>
    </row>
    <row r="72" spans="1:88">
      <c r="A72" s="181"/>
      <c r="E72" s="177"/>
      <c r="F72" s="177"/>
      <c r="G72" s="615"/>
      <c r="H72" s="616"/>
      <c r="I72" s="177"/>
      <c r="J72" s="177"/>
      <c r="K72" s="177"/>
      <c r="L72" s="177"/>
      <c r="M72" s="177"/>
      <c r="N72" s="615"/>
      <c r="O72" s="616"/>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9"/>
      <c r="AO72" s="177"/>
      <c r="AP72" s="177"/>
      <c r="AQ72" s="177"/>
      <c r="AR72" s="177"/>
      <c r="AS72" s="177"/>
      <c r="AT72" s="177"/>
      <c r="AU72" s="179"/>
      <c r="AV72" s="177"/>
      <c r="AW72" s="177"/>
      <c r="AX72" s="177"/>
      <c r="AY72" s="177"/>
      <c r="AZ72" s="177"/>
      <c r="BA72" s="177"/>
      <c r="BB72" s="179"/>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row>
    <row r="73" spans="1:88">
      <c r="A73" s="181"/>
      <c r="E73" s="177"/>
      <c r="F73" s="177"/>
      <c r="G73" s="612" t="s">
        <v>214</v>
      </c>
      <c r="H73" s="257">
        <f>COUNTIFS($C$5:$C$35,"ma",august,"Rul 1")</f>
        <v>0</v>
      </c>
      <c r="I73" s="177"/>
      <c r="J73" s="177"/>
      <c r="K73" s="177"/>
      <c r="L73" s="177"/>
      <c r="M73" s="177"/>
      <c r="N73" s="612" t="str">
        <f>G73</f>
        <v>Rul 1 Mandag</v>
      </c>
      <c r="O73" s="257">
        <f>COUNTIFS($J$5:$J$34,"ma",september,"Rul 1")</f>
        <v>0</v>
      </c>
      <c r="P73" s="177"/>
      <c r="Q73" s="177"/>
      <c r="R73" s="177"/>
      <c r="S73" s="177"/>
      <c r="T73" s="177"/>
      <c r="U73" s="497" t="str">
        <f>N73</f>
        <v>Rul 1 Mandag</v>
      </c>
      <c r="V73" s="163">
        <f>COUNTIFS($Q$5:$Q$35,"ma",oktober,"Rul 1")</f>
        <v>0</v>
      </c>
      <c r="W73" s="177"/>
      <c r="X73" s="177"/>
      <c r="Y73" s="177"/>
      <c r="Z73" s="177"/>
      <c r="AA73" s="177"/>
      <c r="AB73" s="497" t="str">
        <f>U73</f>
        <v>Rul 1 Mandag</v>
      </c>
      <c r="AC73" s="163">
        <f>COUNTIFS($X$5:$X$34,"ma",november,"Rul 1")</f>
        <v>0</v>
      </c>
      <c r="AD73" s="177"/>
      <c r="AE73" s="177"/>
      <c r="AF73" s="177"/>
      <c r="AG73" s="177"/>
      <c r="AH73" s="177"/>
      <c r="AI73" s="497" t="str">
        <f>AB73</f>
        <v>Rul 1 Mandag</v>
      </c>
      <c r="AJ73" s="163">
        <f>COUNTIFS($AE$5:$AE$35,"ma",december,"Rul 1")</f>
        <v>0</v>
      </c>
      <c r="AK73" s="177"/>
      <c r="AL73" s="177"/>
      <c r="AM73" s="177"/>
      <c r="AN73" s="179"/>
      <c r="AO73" s="177"/>
      <c r="AP73" s="497" t="str">
        <f>AI73</f>
        <v>Rul 1 Mandag</v>
      </c>
      <c r="AQ73" s="163">
        <f>COUNTIFS($AL$5:$AL$35,"ma",januar,"Rul 1")</f>
        <v>0</v>
      </c>
      <c r="AR73" s="177"/>
      <c r="AS73" s="177"/>
      <c r="AT73" s="177"/>
      <c r="AU73" s="179"/>
      <c r="AV73" s="177"/>
      <c r="AW73" s="497" t="str">
        <f>AP73</f>
        <v>Rul 1 Mandag</v>
      </c>
      <c r="AX73" s="163">
        <f>COUNTIFS($AS$5:$AS$33,"ma",februar,"Rul 1")</f>
        <v>0</v>
      </c>
      <c r="AY73" s="177"/>
      <c r="AZ73" s="177"/>
      <c r="BA73" s="177"/>
      <c r="BB73" s="179"/>
      <c r="BC73" s="177"/>
      <c r="BD73" s="497" t="str">
        <f>AW73</f>
        <v>Rul 1 Mandag</v>
      </c>
      <c r="BE73" s="163">
        <f>COUNTIFS($AZ$5:$AZ$35,"ma",marts,"Rul 1")</f>
        <v>0</v>
      </c>
      <c r="BF73" s="177"/>
      <c r="BG73" s="177"/>
      <c r="BH73" s="177"/>
      <c r="BI73" s="177"/>
      <c r="BJ73" s="177"/>
      <c r="BK73" s="497" t="str">
        <f>BD73</f>
        <v>Rul 1 Mandag</v>
      </c>
      <c r="BL73" s="163">
        <f>COUNTIFS($BG$5:$BG$34,"ma",april,"Rul 1")</f>
        <v>0</v>
      </c>
      <c r="BM73" s="177"/>
      <c r="BN73" s="177"/>
      <c r="BO73" s="177"/>
      <c r="BP73" s="177"/>
      <c r="BQ73" s="177"/>
      <c r="BR73" s="497" t="str">
        <f>BK73</f>
        <v>Rul 1 Mandag</v>
      </c>
      <c r="BS73" s="163">
        <f>COUNTIFS($BN$5:$BN$35,"ma",maj,"Rul 1")</f>
        <v>0</v>
      </c>
      <c r="BT73" s="177"/>
      <c r="BU73" s="177"/>
      <c r="BV73" s="177"/>
      <c r="BW73" s="177"/>
      <c r="BX73" s="177"/>
      <c r="BY73" s="497" t="str">
        <f>BR73</f>
        <v>Rul 1 Mandag</v>
      </c>
      <c r="BZ73" s="163">
        <f>COUNTIFS($BU$5:$BU$34,"ma",juni,"Rul 1")</f>
        <v>0</v>
      </c>
      <c r="CF73" s="497" t="str">
        <f>BY73</f>
        <v>Rul 1 Mandag</v>
      </c>
      <c r="CG73" s="163">
        <f>COUNTIFS($CB$5:$CB$35,"ma",juli,"Rul 1")</f>
        <v>0</v>
      </c>
      <c r="CI73" s="260" t="str">
        <f>CF73</f>
        <v>Rul 1 Mandag</v>
      </c>
      <c r="CJ73" s="281">
        <f>CG73+BZ73+BS73+BL73+BE73+AX73+AQ73+AJ73+AC73+V73+O73+H73</f>
        <v>0</v>
      </c>
    </row>
    <row r="74" spans="1:88">
      <c r="A74" s="181"/>
      <c r="E74" s="177"/>
      <c r="F74" s="177"/>
      <c r="G74" s="613" t="s">
        <v>215</v>
      </c>
      <c r="H74" s="258">
        <f>COUNTIFS($C$5:$C$35,"ti",august,"Rul 1")</f>
        <v>0</v>
      </c>
      <c r="I74" s="177"/>
      <c r="J74" s="177"/>
      <c r="K74" s="177"/>
      <c r="L74" s="177"/>
      <c r="M74" s="177"/>
      <c r="N74" s="613" t="str">
        <f t="shared" ref="N74:N77" si="87">G74</f>
        <v>Rul 1 Tirsdag</v>
      </c>
      <c r="O74" s="258">
        <f>COUNTIFS($J$5:$J$34,"ti",september,"Rul 1")</f>
        <v>0</v>
      </c>
      <c r="P74" s="177"/>
      <c r="Q74" s="177"/>
      <c r="R74" s="177"/>
      <c r="S74" s="177"/>
      <c r="T74" s="177"/>
      <c r="U74" s="498" t="str">
        <f t="shared" ref="U74:U77" si="88">N74</f>
        <v>Rul 1 Tirsdag</v>
      </c>
      <c r="V74" s="168">
        <f>COUNTIFS($Q$5:$Q$35,"ti",oktober,"Rul 1")</f>
        <v>0</v>
      </c>
      <c r="W74" s="177"/>
      <c r="X74" s="177"/>
      <c r="Y74" s="177"/>
      <c r="Z74" s="177"/>
      <c r="AA74" s="177"/>
      <c r="AB74" s="498" t="str">
        <f t="shared" ref="AB74:AB77" si="89">U74</f>
        <v>Rul 1 Tirsdag</v>
      </c>
      <c r="AC74" s="168">
        <f>COUNTIFS($X$5:$X$34,"ti",november,"Rul 1")</f>
        <v>0</v>
      </c>
      <c r="AD74" s="177"/>
      <c r="AE74" s="177"/>
      <c r="AF74" s="177"/>
      <c r="AG74" s="177"/>
      <c r="AH74" s="177"/>
      <c r="AI74" s="498" t="str">
        <f t="shared" ref="AI74:AI77" si="90">AB74</f>
        <v>Rul 1 Tirsdag</v>
      </c>
      <c r="AJ74" s="168">
        <f>COUNTIFS($AE$5:$AE$35,"ti",december,"Rul 1")</f>
        <v>0</v>
      </c>
      <c r="AK74" s="177"/>
      <c r="AL74" s="177"/>
      <c r="AM74" s="177"/>
      <c r="AN74" s="179"/>
      <c r="AO74" s="177"/>
      <c r="AP74" s="498" t="str">
        <f t="shared" ref="AP74:AP77" si="91">AI74</f>
        <v>Rul 1 Tirsdag</v>
      </c>
      <c r="AQ74" s="168">
        <f>COUNTIFS($AL$5:$AL$35,"ti",januar,"Rul 1")</f>
        <v>0</v>
      </c>
      <c r="AR74" s="177"/>
      <c r="AS74" s="177"/>
      <c r="AT74" s="177"/>
      <c r="AU74" s="179"/>
      <c r="AV74" s="177"/>
      <c r="AW74" s="498" t="str">
        <f t="shared" ref="AW74:AW77" si="92">AP74</f>
        <v>Rul 1 Tirsdag</v>
      </c>
      <c r="AX74" s="168">
        <f>COUNTIFS($AS$5:$AS$33,"ti",februar,"Rul 1")</f>
        <v>0</v>
      </c>
      <c r="AY74" s="177"/>
      <c r="AZ74" s="177"/>
      <c r="BA74" s="177"/>
      <c r="BB74" s="179"/>
      <c r="BC74" s="177"/>
      <c r="BD74" s="498" t="str">
        <f t="shared" ref="BD74:BD77" si="93">AW74</f>
        <v>Rul 1 Tirsdag</v>
      </c>
      <c r="BE74" s="168">
        <f>COUNTIFS($AZ$5:$AZ$35,"ti",marts,"Rul 1")</f>
        <v>0</v>
      </c>
      <c r="BF74" s="177"/>
      <c r="BG74" s="177"/>
      <c r="BH74" s="177"/>
      <c r="BI74" s="177"/>
      <c r="BJ74" s="177"/>
      <c r="BK74" s="498" t="str">
        <f t="shared" ref="BK74:BK77" si="94">BD74</f>
        <v>Rul 1 Tirsdag</v>
      </c>
      <c r="BL74" s="168">
        <f>COUNTIFS($BG$5:$BG$34,"ti",april,"Rul 1")</f>
        <v>0</v>
      </c>
      <c r="BM74" s="177"/>
      <c r="BN74" s="177"/>
      <c r="BO74" s="177"/>
      <c r="BP74" s="177"/>
      <c r="BQ74" s="177"/>
      <c r="BR74" s="498" t="str">
        <f t="shared" ref="BR74:BR77" si="95">BK74</f>
        <v>Rul 1 Tirsdag</v>
      </c>
      <c r="BS74" s="168">
        <f>COUNTIFS($BN$5:$BN$35,"ti",maj,"Rul 1")</f>
        <v>0</v>
      </c>
      <c r="BT74" s="177"/>
      <c r="BU74" s="177"/>
      <c r="BV74" s="177"/>
      <c r="BW74" s="177"/>
      <c r="BX74" s="177"/>
      <c r="BY74" s="498" t="str">
        <f t="shared" ref="BY74:BY77" si="96">BR74</f>
        <v>Rul 1 Tirsdag</v>
      </c>
      <c r="BZ74" s="168">
        <f>COUNTIFS($BU$5:$BU$34,"ti",juni,"Rul 1")</f>
        <v>0</v>
      </c>
      <c r="CF74" s="498" t="str">
        <f t="shared" ref="CF74:CF77" si="97">BY74</f>
        <v>Rul 1 Tirsdag</v>
      </c>
      <c r="CG74" s="168">
        <f>COUNTIFS($CB$5:$CB$35,"ti",juli,"Rul 1")</f>
        <v>0</v>
      </c>
      <c r="CI74" s="617" t="str">
        <f>CF74</f>
        <v>Rul 1 Tirsdag</v>
      </c>
      <c r="CJ74" s="618">
        <f>CG74+BZ74+BS74+BL74+BE74+AX74+AQ74+AJ74+AC74+V74+O74+H74</f>
        <v>0</v>
      </c>
    </row>
    <row r="75" spans="1:88">
      <c r="A75" s="181"/>
      <c r="E75" s="177"/>
      <c r="F75" s="177"/>
      <c r="G75" s="613" t="s">
        <v>216</v>
      </c>
      <c r="H75" s="258">
        <f>COUNTIFS($C$5:$C$35,"on",august,"Rul 1")</f>
        <v>0</v>
      </c>
      <c r="I75" s="177"/>
      <c r="J75" s="177"/>
      <c r="K75" s="177"/>
      <c r="L75" s="177"/>
      <c r="M75" s="177"/>
      <c r="N75" s="613" t="str">
        <f t="shared" si="87"/>
        <v>Rul 1 Onsdag</v>
      </c>
      <c r="O75" s="258">
        <f>COUNTIFS($J$5:$J$34,"on",september,"Rul 1")</f>
        <v>0</v>
      </c>
      <c r="P75" s="177"/>
      <c r="Q75" s="177"/>
      <c r="R75" s="177"/>
      <c r="S75" s="177"/>
      <c r="T75" s="177"/>
      <c r="U75" s="498" t="str">
        <f t="shared" si="88"/>
        <v>Rul 1 Onsdag</v>
      </c>
      <c r="V75" s="168">
        <f>COUNTIFS($Q$5:$Q$35,"on",oktober,"Rul 1")</f>
        <v>0</v>
      </c>
      <c r="W75" s="177"/>
      <c r="X75" s="177"/>
      <c r="Y75" s="177"/>
      <c r="Z75" s="177"/>
      <c r="AA75" s="177"/>
      <c r="AB75" s="498" t="str">
        <f t="shared" si="89"/>
        <v>Rul 1 Onsdag</v>
      </c>
      <c r="AC75" s="168">
        <f>COUNTIFS($X$5:$X$34,"on",november,"Rul 1")</f>
        <v>0</v>
      </c>
      <c r="AD75" s="177"/>
      <c r="AE75" s="177"/>
      <c r="AF75" s="177"/>
      <c r="AG75" s="177"/>
      <c r="AH75" s="177"/>
      <c r="AI75" s="498" t="str">
        <f t="shared" si="90"/>
        <v>Rul 1 Onsdag</v>
      </c>
      <c r="AJ75" s="168">
        <f>COUNTIFS($AE$5:$AE$35,"on",december,"Rul 1")</f>
        <v>0</v>
      </c>
      <c r="AK75" s="177"/>
      <c r="AL75" s="177"/>
      <c r="AM75" s="177"/>
      <c r="AN75" s="179"/>
      <c r="AO75" s="177"/>
      <c r="AP75" s="498" t="str">
        <f t="shared" si="91"/>
        <v>Rul 1 Onsdag</v>
      </c>
      <c r="AQ75" s="168">
        <f>COUNTIFS($AL$5:$AL$35,"on",januar,"Rul 1")</f>
        <v>0</v>
      </c>
      <c r="AR75" s="177"/>
      <c r="AS75" s="177"/>
      <c r="AT75" s="177"/>
      <c r="AU75" s="179"/>
      <c r="AV75" s="177"/>
      <c r="AW75" s="498" t="str">
        <f t="shared" si="92"/>
        <v>Rul 1 Onsdag</v>
      </c>
      <c r="AX75" s="168">
        <f>COUNTIFS($AS$5:$AS$33,"on",februar,"Rul 1")</f>
        <v>0</v>
      </c>
      <c r="AY75" s="177"/>
      <c r="AZ75" s="177"/>
      <c r="BA75" s="177"/>
      <c r="BB75" s="179"/>
      <c r="BC75" s="177"/>
      <c r="BD75" s="498" t="str">
        <f t="shared" si="93"/>
        <v>Rul 1 Onsdag</v>
      </c>
      <c r="BE75" s="168">
        <f>COUNTIFS($AZ$5:$AZ$35,"on",marts,"Rul 1")</f>
        <v>0</v>
      </c>
      <c r="BF75" s="177"/>
      <c r="BG75" s="177"/>
      <c r="BH75" s="177"/>
      <c r="BI75" s="177"/>
      <c r="BJ75" s="177"/>
      <c r="BK75" s="498" t="str">
        <f t="shared" si="94"/>
        <v>Rul 1 Onsdag</v>
      </c>
      <c r="BL75" s="168">
        <f>COUNTIFS($BG$5:$BG$34,"on",april,"Rul 1")</f>
        <v>0</v>
      </c>
      <c r="BM75" s="177"/>
      <c r="BN75" s="177"/>
      <c r="BO75" s="177"/>
      <c r="BP75" s="177"/>
      <c r="BQ75" s="177"/>
      <c r="BR75" s="498" t="str">
        <f t="shared" si="95"/>
        <v>Rul 1 Onsdag</v>
      </c>
      <c r="BS75" s="168">
        <f>COUNTIFS($BN$5:$BN$35,"on",maj,"Rul 1")</f>
        <v>0</v>
      </c>
      <c r="BT75" s="177"/>
      <c r="BU75" s="177"/>
      <c r="BV75" s="177"/>
      <c r="BW75" s="177"/>
      <c r="BX75" s="177"/>
      <c r="BY75" s="498" t="str">
        <f t="shared" si="96"/>
        <v>Rul 1 Onsdag</v>
      </c>
      <c r="BZ75" s="168">
        <f>COUNTIFS($BU$5:$BU$34,"on",juni,"Rul 1")</f>
        <v>0</v>
      </c>
      <c r="CF75" s="498" t="str">
        <f t="shared" si="97"/>
        <v>Rul 1 Onsdag</v>
      </c>
      <c r="CG75" s="168">
        <f>COUNTIFS($CB$5:$CB$35,"on",juli,"Rul 1")</f>
        <v>0</v>
      </c>
      <c r="CI75" s="617" t="str">
        <f>CF75</f>
        <v>Rul 1 Onsdag</v>
      </c>
      <c r="CJ75" s="618">
        <f>CG75+BZ75+BS75+BL75+BE75+AX75+AQ75+AJ75+AC75+V75+O75+H75</f>
        <v>0</v>
      </c>
    </row>
    <row r="76" spans="1:88">
      <c r="A76" s="181"/>
      <c r="E76" s="177"/>
      <c r="F76" s="177"/>
      <c r="G76" s="613" t="s">
        <v>217</v>
      </c>
      <c r="H76" s="258">
        <f>COUNTIFS($C$5:$C$35,"to",august,"Rul 1")</f>
        <v>0</v>
      </c>
      <c r="M76" s="177"/>
      <c r="N76" s="613" t="str">
        <f t="shared" si="87"/>
        <v>Rul 1 Torsdag</v>
      </c>
      <c r="O76" s="258">
        <f>COUNTIFS($J$5:$J$34,"to",september,"Rul 1")</f>
        <v>0</v>
      </c>
      <c r="T76" s="177"/>
      <c r="U76" s="498" t="str">
        <f t="shared" si="88"/>
        <v>Rul 1 Torsdag</v>
      </c>
      <c r="V76" s="168">
        <f>COUNTIFS($Q$5:$Q$35,"to",oktober,"Rul 1")</f>
        <v>0</v>
      </c>
      <c r="AA76" s="177"/>
      <c r="AB76" s="498" t="str">
        <f t="shared" si="89"/>
        <v>Rul 1 Torsdag</v>
      </c>
      <c r="AC76" s="168">
        <f>COUNTIFS($X$5:$X$34,"to",november,"Rul 1")</f>
        <v>0</v>
      </c>
      <c r="AH76" s="177"/>
      <c r="AI76" s="498" t="str">
        <f t="shared" si="90"/>
        <v>Rul 1 Torsdag</v>
      </c>
      <c r="AJ76" s="168">
        <f>COUNTIFS($AE$5:$AE$35,"to",december,"Rul 1")</f>
        <v>0</v>
      </c>
      <c r="AO76" s="177"/>
      <c r="AP76" s="498" t="str">
        <f t="shared" si="91"/>
        <v>Rul 1 Torsdag</v>
      </c>
      <c r="AQ76" s="168">
        <f>COUNTIFS($AL$5:$AL$35,"to",januar,"Rul 1")</f>
        <v>0</v>
      </c>
      <c r="AV76" s="177"/>
      <c r="AW76" s="498" t="str">
        <f t="shared" si="92"/>
        <v>Rul 1 Torsdag</v>
      </c>
      <c r="AX76" s="168">
        <f>COUNTIFS($AS$5:$AS$33,"to",februar,"Rul 1")</f>
        <v>0</v>
      </c>
      <c r="BC76" s="177"/>
      <c r="BD76" s="498" t="str">
        <f t="shared" si="93"/>
        <v>Rul 1 Torsdag</v>
      </c>
      <c r="BE76" s="168">
        <f>COUNTIFS($AZ$5:$AZ$35,"to",marts,"Rul 1")</f>
        <v>0</v>
      </c>
      <c r="BJ76" s="177"/>
      <c r="BK76" s="498" t="str">
        <f t="shared" si="94"/>
        <v>Rul 1 Torsdag</v>
      </c>
      <c r="BL76" s="168">
        <f>COUNTIFS($BG$5:$BG$34,"to",april,"Rul 1")</f>
        <v>0</v>
      </c>
      <c r="BQ76" s="177"/>
      <c r="BR76" s="498" t="str">
        <f t="shared" si="95"/>
        <v>Rul 1 Torsdag</v>
      </c>
      <c r="BS76" s="168">
        <f>COUNTIFS($BN$5:$BN$35,"to",maj,"Rul 1")</f>
        <v>0</v>
      </c>
      <c r="BX76" s="177"/>
      <c r="BY76" s="498" t="str">
        <f t="shared" si="96"/>
        <v>Rul 1 Torsdag</v>
      </c>
      <c r="BZ76" s="168">
        <f>COUNTIFS($BU$5:$BU$34,"to",juni,"Rul 1")</f>
        <v>0</v>
      </c>
      <c r="CF76" s="498" t="str">
        <f t="shared" si="97"/>
        <v>Rul 1 Torsdag</v>
      </c>
      <c r="CG76" s="168">
        <f>COUNTIFS($CB$5:$CB$35,"to",juli,"Rul 1")</f>
        <v>0</v>
      </c>
      <c r="CI76" s="617" t="str">
        <f>CF76</f>
        <v>Rul 1 Torsdag</v>
      </c>
      <c r="CJ76" s="618">
        <f>CG76+BZ76+BS76+BL76+BE76+AX76+AQ76+AJ76+AC76+V76+O76+H76</f>
        <v>0</v>
      </c>
    </row>
    <row r="77" spans="1:88">
      <c r="A77" s="181"/>
      <c r="E77" s="177"/>
      <c r="F77" s="177"/>
      <c r="G77" s="614" t="s">
        <v>218</v>
      </c>
      <c r="H77" s="259">
        <f>COUNTIFS($C$5:$C$35,"fr",august,"Rul 1")</f>
        <v>0</v>
      </c>
      <c r="M77" s="177"/>
      <c r="N77" s="614" t="str">
        <f t="shared" si="87"/>
        <v>Rul 1 Fredag</v>
      </c>
      <c r="O77" s="259">
        <f>COUNTIFS($J$5:$J$34,"fr",september,"Rul 1")</f>
        <v>0</v>
      </c>
      <c r="T77" s="177"/>
      <c r="U77" s="499" t="str">
        <f t="shared" si="88"/>
        <v>Rul 1 Fredag</v>
      </c>
      <c r="V77" s="170">
        <f>COUNTIFS($Q$5:$Q$35,"fr",oktober,"Rul 1")</f>
        <v>0</v>
      </c>
      <c r="AA77" s="177"/>
      <c r="AB77" s="499" t="str">
        <f t="shared" si="89"/>
        <v>Rul 1 Fredag</v>
      </c>
      <c r="AC77" s="170">
        <f>COUNTIFS($X$5:$X$34,"fr",november,"Rul 1")</f>
        <v>0</v>
      </c>
      <c r="AH77" s="177"/>
      <c r="AI77" s="499" t="str">
        <f t="shared" si="90"/>
        <v>Rul 1 Fredag</v>
      </c>
      <c r="AJ77" s="170">
        <f>COUNTIFS($AE$5:$AE$35,"fr",december,"Rul 1")</f>
        <v>0</v>
      </c>
      <c r="AO77" s="177"/>
      <c r="AP77" s="499" t="str">
        <f t="shared" si="91"/>
        <v>Rul 1 Fredag</v>
      </c>
      <c r="AQ77" s="170">
        <f>COUNTIFS($AL$5:$AL$35,"fr",januar,"Rul 1")</f>
        <v>0</v>
      </c>
      <c r="AV77" s="177"/>
      <c r="AW77" s="499" t="str">
        <f t="shared" si="92"/>
        <v>Rul 1 Fredag</v>
      </c>
      <c r="AX77" s="170">
        <f>COUNTIFS($AS$5:$AS$33,"fr",februar,"Rul 1")</f>
        <v>0</v>
      </c>
      <c r="BC77" s="177"/>
      <c r="BD77" s="499" t="str">
        <f t="shared" si="93"/>
        <v>Rul 1 Fredag</v>
      </c>
      <c r="BE77" s="170">
        <f>COUNTIFS($AZ$5:$AZ$35,"fr",marts,"Rul 1")</f>
        <v>0</v>
      </c>
      <c r="BJ77" s="177"/>
      <c r="BK77" s="499" t="str">
        <f t="shared" si="94"/>
        <v>Rul 1 Fredag</v>
      </c>
      <c r="BL77" s="170">
        <f>COUNTIFS($BG$5:$BG$34,"fr",april,"Rul 1")</f>
        <v>0</v>
      </c>
      <c r="BQ77" s="177"/>
      <c r="BR77" s="499" t="str">
        <f t="shared" si="95"/>
        <v>Rul 1 Fredag</v>
      </c>
      <c r="BS77" s="170">
        <f>COUNTIFS($BN$5:$BN$35,"fr",maj,"Rul 1")</f>
        <v>0</v>
      </c>
      <c r="BX77" s="177"/>
      <c r="BY77" s="499" t="str">
        <f t="shared" si="96"/>
        <v>Rul 1 Fredag</v>
      </c>
      <c r="BZ77" s="170">
        <f>COUNTIFS($BU$5:$BU$34,"fr",juni,"Rul 1")</f>
        <v>0</v>
      </c>
      <c r="CF77" s="499" t="str">
        <f t="shared" si="97"/>
        <v>Rul 1 Fredag</v>
      </c>
      <c r="CG77" s="170">
        <f>COUNTIFS($CB$5:$CB$35,"fr",juli,"Rul 1")</f>
        <v>0</v>
      </c>
      <c r="CI77" s="619" t="str">
        <f>CF77</f>
        <v>Rul 1 Fredag</v>
      </c>
      <c r="CJ77" s="620">
        <f>CG77+BZ77+BS77+BL77+BE77+AX77+AQ77+AJ77+AC77+V77+O77+H77</f>
        <v>0</v>
      </c>
    </row>
    <row r="78" spans="1:88">
      <c r="A78" s="181"/>
      <c r="E78" s="177"/>
      <c r="F78" s="177"/>
      <c r="G78" s="177"/>
      <c r="H78" s="177"/>
      <c r="M78" s="177"/>
      <c r="N78" s="177"/>
      <c r="O78" s="177"/>
      <c r="T78" s="177"/>
      <c r="U78" s="116"/>
      <c r="V78" s="503"/>
      <c r="AA78" s="177"/>
      <c r="AB78" s="116"/>
      <c r="AC78" s="503"/>
      <c r="AH78" s="177"/>
      <c r="AI78" s="116"/>
      <c r="AJ78" s="503"/>
      <c r="AO78" s="177"/>
      <c r="AP78" s="116"/>
      <c r="AQ78" s="503"/>
      <c r="AV78" s="177"/>
      <c r="AW78" s="116"/>
      <c r="AX78" s="503"/>
      <c r="BC78" s="177"/>
      <c r="BD78" s="116"/>
      <c r="BE78" s="503"/>
      <c r="BJ78" s="177"/>
      <c r="BK78" s="116"/>
      <c r="BL78" s="503"/>
      <c r="BQ78" s="177"/>
      <c r="BR78" s="116"/>
      <c r="BS78" s="503"/>
      <c r="BX78" s="177"/>
      <c r="BY78" s="116"/>
      <c r="BZ78" s="503"/>
      <c r="CF78" s="116"/>
      <c r="CG78" s="116"/>
    </row>
    <row r="79" spans="1:88">
      <c r="A79" s="181"/>
      <c r="E79" s="177"/>
      <c r="F79" s="177"/>
      <c r="G79" s="612" t="s">
        <v>219</v>
      </c>
      <c r="H79" s="257">
        <f>COUNTIFS($C$5:$C$35,"ma",august,"Rul 2")</f>
        <v>0</v>
      </c>
      <c r="M79" s="177"/>
      <c r="N79" s="612" t="str">
        <f>G79</f>
        <v>Rul 2 Mandag</v>
      </c>
      <c r="O79" s="257">
        <f>COUNTIFS($J$5:$J$34,"ma",september,"Rul 2")</f>
        <v>0</v>
      </c>
      <c r="T79" s="177"/>
      <c r="U79" s="500" t="str">
        <f>N79</f>
        <v>Rul 2 Mandag</v>
      </c>
      <c r="V79" s="257">
        <f>COUNTIFS($Q$5:$Q$35,"ma",oktober,"Rul 2")</f>
        <v>0</v>
      </c>
      <c r="AA79" s="177"/>
      <c r="AB79" s="500" t="str">
        <f>U79</f>
        <v>Rul 2 Mandag</v>
      </c>
      <c r="AC79" s="257">
        <f>COUNTIFS($X$5:$X$34,"ma",november,"Rul 2")</f>
        <v>0</v>
      </c>
      <c r="AH79" s="177"/>
      <c r="AI79" s="500" t="str">
        <f>AB79</f>
        <v>Rul 2 Mandag</v>
      </c>
      <c r="AJ79" s="257">
        <f>COUNTIFS($AE$5:$AE$35,"ma",december,"Rul 2")</f>
        <v>0</v>
      </c>
      <c r="AO79" s="177"/>
      <c r="AP79" s="500" t="str">
        <f>AI79</f>
        <v>Rul 2 Mandag</v>
      </c>
      <c r="AQ79" s="257">
        <f>COUNTIFS($AL$5:$AL$35,"ma",januar,"Rul 2")</f>
        <v>0</v>
      </c>
      <c r="AV79" s="177"/>
      <c r="AW79" s="500" t="str">
        <f>AP79</f>
        <v>Rul 2 Mandag</v>
      </c>
      <c r="AX79" s="257">
        <f>COUNTIFS($AS$5:$AS$33,"ma",februar,"Rul 2")</f>
        <v>0</v>
      </c>
      <c r="BC79" s="177"/>
      <c r="BD79" s="500" t="str">
        <f>AW79</f>
        <v>Rul 2 Mandag</v>
      </c>
      <c r="BE79" s="257">
        <f>COUNTIFS($AZ$5:$AZ$35,"ma",marts,"Rul 2")</f>
        <v>0</v>
      </c>
      <c r="BJ79" s="177"/>
      <c r="BK79" s="500" t="str">
        <f>BD79</f>
        <v>Rul 2 Mandag</v>
      </c>
      <c r="BL79" s="257">
        <f>COUNTIFS($BG$5:$BG$34,"ma",april,"Rul 2")</f>
        <v>0</v>
      </c>
      <c r="BQ79" s="177"/>
      <c r="BR79" s="500" t="str">
        <f>BK79</f>
        <v>Rul 2 Mandag</v>
      </c>
      <c r="BS79" s="257">
        <f>COUNTIFS($BN$5:$BN$35,"ma",maj,"Rul 2")</f>
        <v>0</v>
      </c>
      <c r="BX79" s="177"/>
      <c r="BY79" s="500" t="str">
        <f>BR79</f>
        <v>Rul 2 Mandag</v>
      </c>
      <c r="BZ79" s="257">
        <f>COUNTIFS($BU$5:$BU$34,"ma",juni,"Rul 2")</f>
        <v>0</v>
      </c>
      <c r="CF79" s="500" t="str">
        <f>BY79</f>
        <v>Rul 2 Mandag</v>
      </c>
      <c r="CG79" s="257">
        <f>COUNTIFS($CB$5:$CB$35,"ma",juli,"Rul 2")</f>
        <v>0</v>
      </c>
      <c r="CI79" s="260" t="str">
        <f>CF79</f>
        <v>Rul 2 Mandag</v>
      </c>
      <c r="CJ79" s="281">
        <f>CG79+BZ79+BS79+BL79+BE79+AX79+AQ79+AJ79+AC79+V79+O79+H79</f>
        <v>0</v>
      </c>
    </row>
    <row r="80" spans="1:88">
      <c r="A80" s="181"/>
      <c r="F80" s="177"/>
      <c r="G80" s="613" t="s">
        <v>220</v>
      </c>
      <c r="H80" s="258">
        <f>COUNTIFS($C$5:$C$35,"ti",august,"Rul 2")</f>
        <v>0</v>
      </c>
      <c r="M80" s="177"/>
      <c r="N80" s="613" t="str">
        <f t="shared" ref="N80:N83" si="98">G80</f>
        <v>Rul 2 Tirsdag</v>
      </c>
      <c r="O80" s="258">
        <f>COUNTIFS($J$5:$J$34,"ti",september,"Rul 2")</f>
        <v>0</v>
      </c>
      <c r="T80" s="177"/>
      <c r="U80" s="501" t="str">
        <f t="shared" ref="U80:U83" si="99">N80</f>
        <v>Rul 2 Tirsdag</v>
      </c>
      <c r="V80" s="258">
        <f>COUNTIFS($Q$5:$Q$35,"ti",oktober,"Rul 2")</f>
        <v>0</v>
      </c>
      <c r="AA80" s="177"/>
      <c r="AB80" s="501" t="str">
        <f t="shared" ref="AB80:AB83" si="100">U80</f>
        <v>Rul 2 Tirsdag</v>
      </c>
      <c r="AC80" s="258">
        <f>COUNTIFS($X$5:$X$34,"ti",november,"Rul 2")</f>
        <v>0</v>
      </c>
      <c r="AH80" s="177"/>
      <c r="AI80" s="501" t="str">
        <f t="shared" ref="AI80:AI83" si="101">AB80</f>
        <v>Rul 2 Tirsdag</v>
      </c>
      <c r="AJ80" s="258">
        <f>COUNTIFS($AE$5:$AE$35,"ti",december,"Rul 2")</f>
        <v>0</v>
      </c>
      <c r="AO80" s="177"/>
      <c r="AP80" s="501" t="str">
        <f t="shared" ref="AP80:AP83" si="102">AI80</f>
        <v>Rul 2 Tirsdag</v>
      </c>
      <c r="AQ80" s="258">
        <f>COUNTIFS($AL$5:$AL$35,"ti",januar,"Rul 2")</f>
        <v>0</v>
      </c>
      <c r="AV80" s="177"/>
      <c r="AW80" s="501" t="str">
        <f t="shared" ref="AW80:AW83" si="103">AP80</f>
        <v>Rul 2 Tirsdag</v>
      </c>
      <c r="AX80" s="258">
        <f>COUNTIFS($AS$5:$AS$33,"ti",februar,"Rul 2")</f>
        <v>0</v>
      </c>
      <c r="BC80" s="177"/>
      <c r="BD80" s="501" t="str">
        <f t="shared" ref="BD80:BD83" si="104">AW80</f>
        <v>Rul 2 Tirsdag</v>
      </c>
      <c r="BE80" s="258">
        <f>COUNTIFS($AZ$5:$AZ$35,"ti",marts,"Rul 2")</f>
        <v>0</v>
      </c>
      <c r="BJ80" s="177"/>
      <c r="BK80" s="501" t="str">
        <f t="shared" ref="BK80:BK83" si="105">BD80</f>
        <v>Rul 2 Tirsdag</v>
      </c>
      <c r="BL80" s="258">
        <f>COUNTIFS($BG$5:$BG$34,"ti",april,"Rul 2")</f>
        <v>0</v>
      </c>
      <c r="BQ80" s="177"/>
      <c r="BR80" s="501" t="str">
        <f t="shared" ref="BR80:BR83" si="106">BK80</f>
        <v>Rul 2 Tirsdag</v>
      </c>
      <c r="BS80" s="258">
        <f>COUNTIFS($BN$5:$BN$35,"ti",maj,"Rul 2")</f>
        <v>0</v>
      </c>
      <c r="BX80" s="177"/>
      <c r="BY80" s="501" t="str">
        <f t="shared" ref="BY80:BY83" si="107">BR80</f>
        <v>Rul 2 Tirsdag</v>
      </c>
      <c r="BZ80" s="258">
        <f>COUNTIFS($BU$5:$BU$34,"ti",juni,"Rul 2")</f>
        <v>0</v>
      </c>
      <c r="CF80" s="501" t="str">
        <f t="shared" ref="CF80:CF83" si="108">BY80</f>
        <v>Rul 2 Tirsdag</v>
      </c>
      <c r="CG80" s="258">
        <f>COUNTIFS($CB$5:$CB$35,"ti",juli,"Rul 2")</f>
        <v>0</v>
      </c>
      <c r="CI80" s="617" t="str">
        <f>CF80</f>
        <v>Rul 2 Tirsdag</v>
      </c>
      <c r="CJ80" s="618">
        <f>CG80+BZ80+BS80+BL80+BE80+AX80+AQ80+AJ80+AC80+V80+O80+H80</f>
        <v>0</v>
      </c>
    </row>
    <row r="81" spans="1:88">
      <c r="A81" s="181"/>
      <c r="F81" s="177"/>
      <c r="G81" s="613" t="s">
        <v>221</v>
      </c>
      <c r="H81" s="258">
        <f>COUNTIFS($C$5:$C$35,"on",august,"Rul 2")</f>
        <v>0</v>
      </c>
      <c r="M81" s="177"/>
      <c r="N81" s="613" t="str">
        <f t="shared" si="98"/>
        <v>Rul 2 Onsdag</v>
      </c>
      <c r="O81" s="258">
        <f>COUNTIFS($J$5:$J$34,"on",september,"Rul 2")</f>
        <v>0</v>
      </c>
      <c r="T81" s="177"/>
      <c r="U81" s="501" t="str">
        <f t="shared" si="99"/>
        <v>Rul 2 Onsdag</v>
      </c>
      <c r="V81" s="258">
        <f>COUNTIFS($Q$5:$Q$35,"on",oktober,"Rul 2")</f>
        <v>0</v>
      </c>
      <c r="AA81" s="177"/>
      <c r="AB81" s="501" t="str">
        <f t="shared" si="100"/>
        <v>Rul 2 Onsdag</v>
      </c>
      <c r="AC81" s="258">
        <f>COUNTIFS($X$5:$X$34,"on",november,"Rul 2")</f>
        <v>0</v>
      </c>
      <c r="AH81" s="177"/>
      <c r="AI81" s="501" t="str">
        <f t="shared" si="101"/>
        <v>Rul 2 Onsdag</v>
      </c>
      <c r="AJ81" s="258">
        <f>COUNTIFS($AE$5:$AE$35,"on",december,"Rul 2")</f>
        <v>0</v>
      </c>
      <c r="AO81" s="177"/>
      <c r="AP81" s="501" t="str">
        <f t="shared" si="102"/>
        <v>Rul 2 Onsdag</v>
      </c>
      <c r="AQ81" s="258">
        <f>COUNTIFS($AL$5:$AL$35,"on",januar,"Rul 2")</f>
        <v>0</v>
      </c>
      <c r="AV81" s="177"/>
      <c r="AW81" s="501" t="str">
        <f t="shared" si="103"/>
        <v>Rul 2 Onsdag</v>
      </c>
      <c r="AX81" s="258">
        <f>COUNTIFS($AS$5:$AS$33,"on",februar,"Rul 2")</f>
        <v>0</v>
      </c>
      <c r="BC81" s="177"/>
      <c r="BD81" s="501" t="str">
        <f t="shared" si="104"/>
        <v>Rul 2 Onsdag</v>
      </c>
      <c r="BE81" s="258">
        <f>COUNTIFS($AZ$5:$AZ$35,"on",marts,"Rul 2")</f>
        <v>0</v>
      </c>
      <c r="BJ81" s="177"/>
      <c r="BK81" s="501" t="str">
        <f t="shared" si="105"/>
        <v>Rul 2 Onsdag</v>
      </c>
      <c r="BL81" s="258">
        <f>COUNTIFS($BG$5:$BG$34,"on",april,"Rul 2")</f>
        <v>0</v>
      </c>
      <c r="BQ81" s="177"/>
      <c r="BR81" s="501" t="str">
        <f t="shared" si="106"/>
        <v>Rul 2 Onsdag</v>
      </c>
      <c r="BS81" s="258">
        <f>COUNTIFS($BN$5:$BN$35,"on",maj,"Rul 2")</f>
        <v>0</v>
      </c>
      <c r="BX81" s="177"/>
      <c r="BY81" s="501" t="str">
        <f t="shared" si="107"/>
        <v>Rul 2 Onsdag</v>
      </c>
      <c r="BZ81" s="258">
        <f>COUNTIFS($BU$5:$BU$34,"on",juni,"Rul 2")</f>
        <v>0</v>
      </c>
      <c r="CF81" s="501" t="str">
        <f t="shared" si="108"/>
        <v>Rul 2 Onsdag</v>
      </c>
      <c r="CG81" s="258">
        <f>COUNTIFS($CB$5:$CB$35,"on",juli,"Rul 2")</f>
        <v>0</v>
      </c>
      <c r="CI81" s="617" t="str">
        <f>CF81</f>
        <v>Rul 2 Onsdag</v>
      </c>
      <c r="CJ81" s="618">
        <f>CG81+BZ81+BS81+BL81+BE81+AX81+AQ81+AJ81+AC81+V81+O81+H81</f>
        <v>0</v>
      </c>
    </row>
    <row r="82" spans="1:88">
      <c r="A82" s="181"/>
      <c r="F82" s="177"/>
      <c r="G82" s="613" t="s">
        <v>222</v>
      </c>
      <c r="H82" s="258">
        <f>COUNTIFS($C$5:$C$35,"to",august,"Rul 2")</f>
        <v>0</v>
      </c>
      <c r="M82" s="177"/>
      <c r="N82" s="613" t="str">
        <f t="shared" si="98"/>
        <v>Rul 2 Torsdag</v>
      </c>
      <c r="O82" s="258">
        <f>COUNTIFS($J$5:$J$34,"to",september,"Rul 2")</f>
        <v>0</v>
      </c>
      <c r="T82" s="177"/>
      <c r="U82" s="501" t="str">
        <f t="shared" si="99"/>
        <v>Rul 2 Torsdag</v>
      </c>
      <c r="V82" s="258">
        <f>COUNTIFS($Q$5:$Q$35,"to",oktober,"Rul 2")</f>
        <v>0</v>
      </c>
      <c r="AA82" s="177"/>
      <c r="AB82" s="501" t="str">
        <f t="shared" si="100"/>
        <v>Rul 2 Torsdag</v>
      </c>
      <c r="AC82" s="258">
        <f>COUNTIFS($X$5:$X$34,"to",november,"Rul 2")</f>
        <v>0</v>
      </c>
      <c r="AH82" s="177"/>
      <c r="AI82" s="501" t="str">
        <f t="shared" si="101"/>
        <v>Rul 2 Torsdag</v>
      </c>
      <c r="AJ82" s="258">
        <f>COUNTIFS($AE$5:$AE$35,"to",december,"Rul 2")</f>
        <v>0</v>
      </c>
      <c r="AO82" s="177"/>
      <c r="AP82" s="501" t="str">
        <f t="shared" si="102"/>
        <v>Rul 2 Torsdag</v>
      </c>
      <c r="AQ82" s="258">
        <f>COUNTIFS($AL$5:$AL$35,"to",januar,"Rul 2")</f>
        <v>0</v>
      </c>
      <c r="AV82" s="177"/>
      <c r="AW82" s="501" t="str">
        <f t="shared" si="103"/>
        <v>Rul 2 Torsdag</v>
      </c>
      <c r="AX82" s="258">
        <f>COUNTIFS($AS$5:$AS$33,"to",februar,"Rul 2")</f>
        <v>0</v>
      </c>
      <c r="BC82" s="177"/>
      <c r="BD82" s="501" t="str">
        <f t="shared" si="104"/>
        <v>Rul 2 Torsdag</v>
      </c>
      <c r="BE82" s="258">
        <f>COUNTIFS($AZ$5:$AZ$35,"to",marts,"Rul 2")</f>
        <v>0</v>
      </c>
      <c r="BJ82" s="177"/>
      <c r="BK82" s="501" t="str">
        <f t="shared" si="105"/>
        <v>Rul 2 Torsdag</v>
      </c>
      <c r="BL82" s="258">
        <f>COUNTIFS($BG$5:$BG$34,"to",april,"Rul 2")</f>
        <v>0</v>
      </c>
      <c r="BQ82" s="177"/>
      <c r="BR82" s="501" t="str">
        <f t="shared" si="106"/>
        <v>Rul 2 Torsdag</v>
      </c>
      <c r="BS82" s="258">
        <f>COUNTIFS($BN$5:$BN$35,"to",maj,"Rul 2")</f>
        <v>0</v>
      </c>
      <c r="BX82" s="177"/>
      <c r="BY82" s="501" t="str">
        <f t="shared" si="107"/>
        <v>Rul 2 Torsdag</v>
      </c>
      <c r="BZ82" s="258">
        <f>COUNTIFS($BU$5:$BU$34,"to",juni,"Rul 2")</f>
        <v>0</v>
      </c>
      <c r="CF82" s="501" t="str">
        <f t="shared" si="108"/>
        <v>Rul 2 Torsdag</v>
      </c>
      <c r="CG82" s="258">
        <f>COUNTIFS($CB$5:$CB$35,"to",juli,"Rul 2")</f>
        <v>0</v>
      </c>
      <c r="CI82" s="617" t="str">
        <f>CF82</f>
        <v>Rul 2 Torsdag</v>
      </c>
      <c r="CJ82" s="618">
        <f>CG82+BZ82+BS82+BL82+BE82+AX82+AQ82+AJ82+AC82+V82+O82+H82</f>
        <v>0</v>
      </c>
    </row>
    <row r="83" spans="1:88">
      <c r="A83" s="181"/>
      <c r="F83" s="177"/>
      <c r="G83" s="614" t="s">
        <v>223</v>
      </c>
      <c r="H83" s="259">
        <f>COUNTIFS($C$5:$C$35,"fr",august,"Rul 2")</f>
        <v>0</v>
      </c>
      <c r="N83" s="614" t="str">
        <f t="shared" si="98"/>
        <v>Rul 2 Fredag</v>
      </c>
      <c r="O83" s="259">
        <f>COUNTIFS($J$5:$J$34,"fr",september,"Rul 2")</f>
        <v>0</v>
      </c>
      <c r="U83" s="502" t="str">
        <f t="shared" si="99"/>
        <v>Rul 2 Fredag</v>
      </c>
      <c r="V83" s="259">
        <f>COUNTIFS($Q$5:$Q$35,"fr",oktober,"Rul 2")</f>
        <v>0</v>
      </c>
      <c r="AB83" s="502" t="str">
        <f t="shared" si="100"/>
        <v>Rul 2 Fredag</v>
      </c>
      <c r="AC83" s="259">
        <f>COUNTIFS($X$5:$X$34,"fr",november,"Rul 2")</f>
        <v>0</v>
      </c>
      <c r="AI83" s="502" t="str">
        <f t="shared" si="101"/>
        <v>Rul 2 Fredag</v>
      </c>
      <c r="AJ83" s="259">
        <f>COUNTIFS($AE$5:$AE$35,"fr",december,"Rul 2")</f>
        <v>0</v>
      </c>
      <c r="AP83" s="502" t="str">
        <f t="shared" si="102"/>
        <v>Rul 2 Fredag</v>
      </c>
      <c r="AQ83" s="259">
        <f>COUNTIFS($AL$5:$AL$35,"fr",januar,"Rul 2")</f>
        <v>0</v>
      </c>
      <c r="AW83" s="502" t="str">
        <f t="shared" si="103"/>
        <v>Rul 2 Fredag</v>
      </c>
      <c r="AX83" s="259">
        <f>COUNTIFS($AS$5:$AS$33,"fr",februar,"Rul 2")</f>
        <v>0</v>
      </c>
      <c r="BD83" s="502" t="str">
        <f t="shared" si="104"/>
        <v>Rul 2 Fredag</v>
      </c>
      <c r="BE83" s="259">
        <f>COUNTIFS($AZ$5:$AZ$35,"fr",marts,"Rul 2")</f>
        <v>0</v>
      </c>
      <c r="BK83" s="502" t="str">
        <f t="shared" si="105"/>
        <v>Rul 2 Fredag</v>
      </c>
      <c r="BL83" s="259">
        <f>COUNTIFS($BG$5:$BG$34,"fr",april,"Rul 2")</f>
        <v>0</v>
      </c>
      <c r="BR83" s="502" t="str">
        <f t="shared" si="106"/>
        <v>Rul 2 Fredag</v>
      </c>
      <c r="BS83" s="259">
        <f>COUNTIFS($BN$5:$BN$35,"fr",maj,"Rul 2")</f>
        <v>0</v>
      </c>
      <c r="BY83" s="502" t="str">
        <f t="shared" si="107"/>
        <v>Rul 2 Fredag</v>
      </c>
      <c r="BZ83" s="259">
        <f>COUNTIFS($BU$5:$BU$34,"fr",juni,"Rul 2")</f>
        <v>0</v>
      </c>
      <c r="CF83" s="502" t="str">
        <f t="shared" si="108"/>
        <v>Rul 2 Fredag</v>
      </c>
      <c r="CG83" s="259">
        <f>COUNTIFS($CB$5:$CB$35,"fr",juli,"Rul 2")</f>
        <v>0</v>
      </c>
      <c r="CI83" s="619" t="str">
        <f>CF83</f>
        <v>Rul 2 Fredag</v>
      </c>
      <c r="CJ83" s="620">
        <f>CG83+BZ83+BS83+BL83+BE83+AX83+AQ83+AJ83+AC83+V83+O83+H83</f>
        <v>0</v>
      </c>
    </row>
    <row r="84" spans="1:88">
      <c r="A84" s="181"/>
      <c r="F84" s="177"/>
      <c r="G84" s="177"/>
      <c r="H84" s="177"/>
      <c r="N84" s="177"/>
      <c r="O84" s="177"/>
    </row>
    <row r="85" spans="1:88">
      <c r="A85" s="181"/>
      <c r="F85" s="177"/>
      <c r="G85" s="612" t="s">
        <v>224</v>
      </c>
      <c r="H85" s="257">
        <f>COUNTIFS($C$5:$C$35,"ma",august,"Rul 3")</f>
        <v>0</v>
      </c>
      <c r="N85" s="500" t="str">
        <f>G85</f>
        <v>Rul 3 Mandag</v>
      </c>
      <c r="O85" s="257">
        <f>COUNTIFS($J$5:$J$34,"ma",september,"Rul 3")</f>
        <v>0</v>
      </c>
      <c r="U85" s="497" t="str">
        <f>N85</f>
        <v>Rul 3 Mandag</v>
      </c>
      <c r="V85" s="163">
        <f>COUNTIFS($Q$5:$Q$35,"ma",oktober,"Rul 3")</f>
        <v>0</v>
      </c>
      <c r="AB85" s="497" t="str">
        <f>U85</f>
        <v>Rul 3 Mandag</v>
      </c>
      <c r="AC85" s="163">
        <f>COUNTIFS($X$5:$X$34,"ma",november,"Rul 3")</f>
        <v>0</v>
      </c>
      <c r="AI85" s="497" t="str">
        <f>AB85</f>
        <v>Rul 3 Mandag</v>
      </c>
      <c r="AJ85" s="163">
        <f>COUNTIFS($AE$5:$AE$35,"ma",december,"Rul 3")</f>
        <v>0</v>
      </c>
      <c r="AP85" s="497" t="str">
        <f>AI85</f>
        <v>Rul 3 Mandag</v>
      </c>
      <c r="AQ85" s="163">
        <f>COUNTIFS($AL$5:$AL$35,"ma",januar,"Rul 3")</f>
        <v>0</v>
      </c>
      <c r="AW85" s="497" t="str">
        <f>AP85</f>
        <v>Rul 3 Mandag</v>
      </c>
      <c r="AX85" s="163">
        <f>COUNTIFS($AS$5:$AS$33,"ma",februar,"Rul 3")</f>
        <v>0</v>
      </c>
      <c r="BD85" s="497" t="str">
        <f>AW85</f>
        <v>Rul 3 Mandag</v>
      </c>
      <c r="BE85" s="163">
        <f>COUNTIFS($AZ$5:$AZ$35,"ma",marts,"Rul 3")</f>
        <v>0</v>
      </c>
      <c r="BK85" s="497" t="str">
        <f>BD85</f>
        <v>Rul 3 Mandag</v>
      </c>
      <c r="BL85" s="163">
        <f>COUNTIFS($BG$5:$BG$34,"ma",april,"Rul 3")</f>
        <v>0</v>
      </c>
      <c r="BR85" s="497" t="str">
        <f>BK85</f>
        <v>Rul 3 Mandag</v>
      </c>
      <c r="BS85" s="163">
        <f>COUNTIFS($BN$5:$BN$35,"ma",maj,"Rul 3")</f>
        <v>0</v>
      </c>
      <c r="BY85" s="497" t="str">
        <f>BR85</f>
        <v>Rul 3 Mandag</v>
      </c>
      <c r="BZ85" s="163">
        <f>COUNTIFS($BU$5:$BU$34,"ma",juni,"Rul 3")</f>
        <v>0</v>
      </c>
      <c r="CF85" s="497" t="str">
        <f>BY85</f>
        <v>Rul 3 Mandag</v>
      </c>
      <c r="CG85" s="163">
        <f>COUNTIFS($CB$5:$CB$35,"ma",juli,"Rul 3")</f>
        <v>0</v>
      </c>
      <c r="CI85" s="260" t="str">
        <f>CF85</f>
        <v>Rul 3 Mandag</v>
      </c>
      <c r="CJ85" s="281">
        <f>CG85+BZ85+BS85+BL85+BE85+AX85+AQ85+AJ85+AC85+V85+O85+H85</f>
        <v>0</v>
      </c>
    </row>
    <row r="86" spans="1:88">
      <c r="A86" s="181"/>
      <c r="F86" s="177"/>
      <c r="G86" s="613" t="s">
        <v>225</v>
      </c>
      <c r="H86" s="258">
        <f>COUNTIFS($C$5:$C$35,"ti",august,"Rul 3")</f>
        <v>0</v>
      </c>
      <c r="N86" s="501" t="str">
        <f t="shared" ref="N86:N89" si="109">G86</f>
        <v>Rul 3 Tirsdag</v>
      </c>
      <c r="O86" s="258">
        <f>COUNTIFS($J$5:$J$34,"ti",september,"Rul 3")</f>
        <v>0</v>
      </c>
      <c r="U86" s="498" t="str">
        <f t="shared" ref="U86:U89" si="110">N86</f>
        <v>Rul 3 Tirsdag</v>
      </c>
      <c r="V86" s="168">
        <f>COUNTIFS($Q$5:$Q$35,"ti",oktober,"Rul 3")</f>
        <v>0</v>
      </c>
      <c r="AB86" s="498" t="str">
        <f t="shared" ref="AB86:AB89" si="111">U86</f>
        <v>Rul 3 Tirsdag</v>
      </c>
      <c r="AC86" s="168">
        <f>COUNTIFS($X$5:$X$34,"ti",november,"Rul 3")</f>
        <v>0</v>
      </c>
      <c r="AI86" s="498" t="str">
        <f t="shared" ref="AI86:AI89" si="112">AB86</f>
        <v>Rul 3 Tirsdag</v>
      </c>
      <c r="AJ86" s="168">
        <f>COUNTIFS($AE$5:$AE$35,"ti",december,"Rul 3")</f>
        <v>0</v>
      </c>
      <c r="AP86" s="498" t="str">
        <f t="shared" ref="AP86:AP89" si="113">AI86</f>
        <v>Rul 3 Tirsdag</v>
      </c>
      <c r="AQ86" s="168">
        <f>COUNTIFS($AL$5:$AL$35,"ti",januar,"Rul 3")</f>
        <v>0</v>
      </c>
      <c r="AW86" s="498" t="str">
        <f t="shared" ref="AW86:AW89" si="114">AP86</f>
        <v>Rul 3 Tirsdag</v>
      </c>
      <c r="AX86" s="168">
        <f>COUNTIFS($AS$5:$AS$33,"ti",februar,"Rul 3")</f>
        <v>0</v>
      </c>
      <c r="BD86" s="498" t="str">
        <f t="shared" ref="BD86:BD89" si="115">AW86</f>
        <v>Rul 3 Tirsdag</v>
      </c>
      <c r="BE86" s="168">
        <f>COUNTIFS($AZ$5:$AZ$35,"ti",marts,"Rul 3")</f>
        <v>0</v>
      </c>
      <c r="BK86" s="498" t="str">
        <f t="shared" ref="BK86:BK89" si="116">BD86</f>
        <v>Rul 3 Tirsdag</v>
      </c>
      <c r="BL86" s="168">
        <f>COUNTIFS($BG$5:$BG$34,"ti",april,"Rul 3")</f>
        <v>0</v>
      </c>
      <c r="BR86" s="498" t="str">
        <f t="shared" ref="BR86:BR89" si="117">BK86</f>
        <v>Rul 3 Tirsdag</v>
      </c>
      <c r="BS86" s="168">
        <f>COUNTIFS($BN$5:$BN$35,"ti",maj,"Rul 3")</f>
        <v>0</v>
      </c>
      <c r="BY86" s="498" t="str">
        <f t="shared" ref="BY86:BY89" si="118">BR86</f>
        <v>Rul 3 Tirsdag</v>
      </c>
      <c r="BZ86" s="168">
        <f>COUNTIFS($BU$5:$BU$34,"ti",juni,"Rul 3")</f>
        <v>0</v>
      </c>
      <c r="CF86" s="498" t="str">
        <f t="shared" ref="CF86:CF89" si="119">BY86</f>
        <v>Rul 3 Tirsdag</v>
      </c>
      <c r="CG86" s="168">
        <f>COUNTIFS($CB$5:$CB$35,"ti",juli,"Rul 3")</f>
        <v>0</v>
      </c>
      <c r="CI86" s="617" t="str">
        <f>CF86</f>
        <v>Rul 3 Tirsdag</v>
      </c>
      <c r="CJ86" s="618">
        <f>CG86+BZ86+BS86+BL86+BE86+AX86+AQ86+AJ86+AC86+V86+O86+H86</f>
        <v>0</v>
      </c>
    </row>
    <row r="87" spans="1:88">
      <c r="A87" s="181"/>
      <c r="F87" s="177"/>
      <c r="G87" s="613" t="s">
        <v>226</v>
      </c>
      <c r="H87" s="258">
        <f>COUNTIFS($C$5:$C$35,"on",august,"Rul 3")</f>
        <v>0</v>
      </c>
      <c r="N87" s="501" t="str">
        <f t="shared" si="109"/>
        <v>Rul 3 Onsdag</v>
      </c>
      <c r="O87" s="258">
        <f>COUNTIFS($J$5:$J$34,"on",september,"Rul 3")</f>
        <v>0</v>
      </c>
      <c r="U87" s="498" t="str">
        <f t="shared" si="110"/>
        <v>Rul 3 Onsdag</v>
      </c>
      <c r="V87" s="168">
        <f>COUNTIFS($Q$5:$Q$35,"on",oktober,"Rul 3")</f>
        <v>0</v>
      </c>
      <c r="AB87" s="498" t="str">
        <f t="shared" si="111"/>
        <v>Rul 3 Onsdag</v>
      </c>
      <c r="AC87" s="168">
        <f>COUNTIFS($X$5:$X$34,"on",november,"Rul 3")</f>
        <v>0</v>
      </c>
      <c r="AI87" s="498" t="str">
        <f t="shared" si="112"/>
        <v>Rul 3 Onsdag</v>
      </c>
      <c r="AJ87" s="168">
        <f>COUNTIFS($AE$5:$AE$35,"on",december,"Rul 3")</f>
        <v>0</v>
      </c>
      <c r="AP87" s="498" t="str">
        <f t="shared" si="113"/>
        <v>Rul 3 Onsdag</v>
      </c>
      <c r="AQ87" s="168">
        <f>COUNTIFS($AL$5:$AL$35,"on",januar,"Rul 3")</f>
        <v>0</v>
      </c>
      <c r="AW87" s="498" t="str">
        <f t="shared" si="114"/>
        <v>Rul 3 Onsdag</v>
      </c>
      <c r="AX87" s="168">
        <f>COUNTIFS($AS$5:$AS$33,"on",februar,"Rul 3")</f>
        <v>0</v>
      </c>
      <c r="BD87" s="498" t="str">
        <f t="shared" si="115"/>
        <v>Rul 3 Onsdag</v>
      </c>
      <c r="BE87" s="168">
        <f>COUNTIFS($AZ$5:$AZ$35,"on",marts,"Rul 3")</f>
        <v>0</v>
      </c>
      <c r="BK87" s="498" t="str">
        <f t="shared" si="116"/>
        <v>Rul 3 Onsdag</v>
      </c>
      <c r="BL87" s="168">
        <f>COUNTIFS($BG$5:$BG$34,"on",april,"Rul 3")</f>
        <v>0</v>
      </c>
      <c r="BR87" s="498" t="str">
        <f t="shared" si="117"/>
        <v>Rul 3 Onsdag</v>
      </c>
      <c r="BS87" s="168">
        <f>COUNTIFS($BN$5:$BN$35,"on",maj,"Rul 3")</f>
        <v>0</v>
      </c>
      <c r="BY87" s="498" t="str">
        <f t="shared" si="118"/>
        <v>Rul 3 Onsdag</v>
      </c>
      <c r="BZ87" s="168">
        <f>COUNTIFS($BU$5:$BU$34,"on",juni,"Rul 3")</f>
        <v>0</v>
      </c>
      <c r="CF87" s="498" t="str">
        <f t="shared" si="119"/>
        <v>Rul 3 Onsdag</v>
      </c>
      <c r="CG87" s="168">
        <f>COUNTIFS($CB$5:$CB$35,"on",juli,"Rul 3")</f>
        <v>0</v>
      </c>
      <c r="CI87" s="617" t="str">
        <f>CF87</f>
        <v>Rul 3 Onsdag</v>
      </c>
      <c r="CJ87" s="618">
        <f>CG87+BZ87+BS87+BL87+BE87+AX87+AQ87+AJ87+AC87+V87+O87+H87</f>
        <v>0</v>
      </c>
    </row>
    <row r="88" spans="1:88">
      <c r="A88" s="181"/>
      <c r="G88" s="613" t="s">
        <v>227</v>
      </c>
      <c r="H88" s="258">
        <f>COUNTIFS($C$5:$C$35,"to",august,"Rul 3")</f>
        <v>0</v>
      </c>
      <c r="N88" s="501" t="str">
        <f t="shared" si="109"/>
        <v>Rul 3 Torsdag</v>
      </c>
      <c r="O88" s="258">
        <f>COUNTIFS($J$5:$J$34,"to",september,"Rul 3")</f>
        <v>0</v>
      </c>
      <c r="U88" s="498" t="str">
        <f t="shared" si="110"/>
        <v>Rul 3 Torsdag</v>
      </c>
      <c r="V88" s="168">
        <f>COUNTIFS($Q$5:$Q$35,"to",oktober,"Rul 3")</f>
        <v>0</v>
      </c>
      <c r="AB88" s="498" t="str">
        <f t="shared" si="111"/>
        <v>Rul 3 Torsdag</v>
      </c>
      <c r="AC88" s="168">
        <f>COUNTIFS($X$5:$X$34,"to",november,"Rul 3")</f>
        <v>0</v>
      </c>
      <c r="AI88" s="498" t="str">
        <f t="shared" si="112"/>
        <v>Rul 3 Torsdag</v>
      </c>
      <c r="AJ88" s="168">
        <f>COUNTIFS($AE$5:$AE$35,"to",december,"Rul 3")</f>
        <v>0</v>
      </c>
      <c r="AP88" s="498" t="str">
        <f t="shared" si="113"/>
        <v>Rul 3 Torsdag</v>
      </c>
      <c r="AQ88" s="168">
        <f>COUNTIFS($AL$5:$AL$35,"to",januar,"Rul 3")</f>
        <v>0</v>
      </c>
      <c r="AW88" s="498" t="str">
        <f t="shared" si="114"/>
        <v>Rul 3 Torsdag</v>
      </c>
      <c r="AX88" s="168">
        <f>COUNTIFS($AS$5:$AS$33,"to",februar,"Rul 3")</f>
        <v>0</v>
      </c>
      <c r="BD88" s="498" t="str">
        <f t="shared" si="115"/>
        <v>Rul 3 Torsdag</v>
      </c>
      <c r="BE88" s="168">
        <f>COUNTIFS($AZ$5:$AZ$35,"to",marts,"Rul 3")</f>
        <v>0</v>
      </c>
      <c r="BK88" s="498" t="str">
        <f t="shared" si="116"/>
        <v>Rul 3 Torsdag</v>
      </c>
      <c r="BL88" s="168">
        <f>COUNTIFS($BG$5:$BG$34,"to",april,"Rul 3")</f>
        <v>0</v>
      </c>
      <c r="BR88" s="498" t="str">
        <f t="shared" si="117"/>
        <v>Rul 3 Torsdag</v>
      </c>
      <c r="BS88" s="168">
        <f>COUNTIFS($BN$5:$BN$35,"to",maj,"Rul 3")</f>
        <v>0</v>
      </c>
      <c r="BY88" s="498" t="str">
        <f t="shared" si="118"/>
        <v>Rul 3 Torsdag</v>
      </c>
      <c r="BZ88" s="168">
        <f>COUNTIFS($BU$5:$BU$34,"to",juni,"Rul 3")</f>
        <v>0</v>
      </c>
      <c r="CF88" s="498" t="str">
        <f t="shared" si="119"/>
        <v>Rul 3 Torsdag</v>
      </c>
      <c r="CG88" s="168">
        <f>COUNTIFS($CB$5:$CB$35,"to",juli,"Rul 3")</f>
        <v>0</v>
      </c>
      <c r="CI88" s="617" t="str">
        <f>CF88</f>
        <v>Rul 3 Torsdag</v>
      </c>
      <c r="CJ88" s="618">
        <f>CG88+BZ88+BS88+BL88+BE88+AX88+AQ88+AJ88+AC88+V88+O88+H88</f>
        <v>0</v>
      </c>
    </row>
    <row r="89" spans="1:88">
      <c r="A89" s="181"/>
      <c r="G89" s="614" t="s">
        <v>228</v>
      </c>
      <c r="H89" s="259">
        <f>COUNTIFS($C$5:$C$35,"fr",august,"Rul 3")</f>
        <v>0</v>
      </c>
      <c r="N89" s="502" t="str">
        <f t="shared" si="109"/>
        <v>Rul 3 Fredag</v>
      </c>
      <c r="O89" s="259">
        <f>COUNTIFS($J$5:$J$34,"fr",september,"Rul 3")</f>
        <v>0</v>
      </c>
      <c r="U89" s="499" t="str">
        <f t="shared" si="110"/>
        <v>Rul 3 Fredag</v>
      </c>
      <c r="V89" s="170">
        <f>COUNTIFS($Q$5:$Q$35,"fr",oktober,"Rul 3")</f>
        <v>0</v>
      </c>
      <c r="AB89" s="499" t="str">
        <f t="shared" si="111"/>
        <v>Rul 3 Fredag</v>
      </c>
      <c r="AC89" s="170">
        <f>COUNTIFS($X$5:$X$34,"fr",november,"Rul 3")</f>
        <v>0</v>
      </c>
      <c r="AI89" s="499" t="str">
        <f t="shared" si="112"/>
        <v>Rul 3 Fredag</v>
      </c>
      <c r="AJ89" s="170">
        <f>COUNTIFS($AE$5:$AE$35,"fr",december,"Rul 3")</f>
        <v>0</v>
      </c>
      <c r="AP89" s="499" t="str">
        <f t="shared" si="113"/>
        <v>Rul 3 Fredag</v>
      </c>
      <c r="AQ89" s="170">
        <f>COUNTIFS($AL$5:$AL$35,"fr",januar,"Rul 3")</f>
        <v>0</v>
      </c>
      <c r="AW89" s="499" t="str">
        <f t="shared" si="114"/>
        <v>Rul 3 Fredag</v>
      </c>
      <c r="AX89" s="170">
        <f>COUNTIFS($AS$5:$AS$33,"fr",februar,"Rul 3")</f>
        <v>0</v>
      </c>
      <c r="BD89" s="499" t="str">
        <f t="shared" si="115"/>
        <v>Rul 3 Fredag</v>
      </c>
      <c r="BE89" s="170">
        <f>COUNTIFS($AZ$5:$AZ$35,"fr",marts,"Rul 3")</f>
        <v>0</v>
      </c>
      <c r="BK89" s="499" t="str">
        <f t="shared" si="116"/>
        <v>Rul 3 Fredag</v>
      </c>
      <c r="BL89" s="170">
        <f>COUNTIFS($BG$5:$BG$34,"fr",april,"Rul 3")</f>
        <v>0</v>
      </c>
      <c r="BR89" s="499" t="str">
        <f t="shared" si="117"/>
        <v>Rul 3 Fredag</v>
      </c>
      <c r="BS89" s="170">
        <f>COUNTIFS($BN$5:$BN$35,"fr",maj,"Rul 3")</f>
        <v>0</v>
      </c>
      <c r="BY89" s="499" t="str">
        <f t="shared" si="118"/>
        <v>Rul 3 Fredag</v>
      </c>
      <c r="BZ89" s="170">
        <f>COUNTIFS($BU$5:$BU$34,"fr",juni,"Rul 3")</f>
        <v>0</v>
      </c>
      <c r="CF89" s="499" t="str">
        <f t="shared" si="119"/>
        <v>Rul 3 Fredag</v>
      </c>
      <c r="CG89" s="170">
        <f>COUNTIFS($CB$5:$CB$35,"fr",juli,"Rul 3")</f>
        <v>0</v>
      </c>
      <c r="CI89" s="619" t="str">
        <f>CF89</f>
        <v>Rul 3 Fredag</v>
      </c>
      <c r="CJ89" s="620">
        <f>CG89+BZ89+BS89+BL89+BE89+AX89+AQ89+AJ89+AC89+V89+O89+H89</f>
        <v>0</v>
      </c>
    </row>
    <row r="90" spans="1:88">
      <c r="A90" s="181"/>
      <c r="G90" s="177"/>
      <c r="H90" s="177"/>
      <c r="N90" s="177"/>
      <c r="O90" s="177"/>
      <c r="U90" s="116"/>
      <c r="V90" s="503"/>
      <c r="AB90" s="116"/>
      <c r="AC90" s="503"/>
      <c r="AI90" s="116"/>
      <c r="AJ90" s="503"/>
      <c r="AP90" s="116"/>
      <c r="AQ90" s="503"/>
      <c r="AW90" s="116"/>
      <c r="AX90" s="503"/>
      <c r="BD90" s="116"/>
      <c r="BE90" s="503"/>
      <c r="BK90" s="116"/>
      <c r="BL90" s="503"/>
      <c r="BR90" s="116"/>
      <c r="BS90" s="503"/>
      <c r="BY90" s="116"/>
      <c r="BZ90" s="503"/>
      <c r="CF90" s="116"/>
      <c r="CG90" s="116"/>
    </row>
    <row r="91" spans="1:88">
      <c r="A91" s="181"/>
      <c r="G91" s="612" t="s">
        <v>229</v>
      </c>
      <c r="H91" s="257">
        <f>COUNTIFS($C$5:$C$35,"ma",august,"Rul 4")</f>
        <v>0</v>
      </c>
      <c r="N91" s="500" t="str">
        <f>G91</f>
        <v>Rul 4 Mandag</v>
      </c>
      <c r="O91" s="257">
        <f>COUNTIFS($J$5:$J$34,"ma",september,"Rul 4")</f>
        <v>0</v>
      </c>
      <c r="U91" s="500" t="str">
        <f>N91</f>
        <v>Rul 4 Mandag</v>
      </c>
      <c r="V91" s="257">
        <f>COUNTIFS($Q$5:$Q$35,"ma",oktober,"Rul 4")</f>
        <v>0</v>
      </c>
      <c r="AB91" s="500" t="str">
        <f>U91</f>
        <v>Rul 4 Mandag</v>
      </c>
      <c r="AC91" s="257">
        <f>COUNTIFS($X$5:$X$34,"ma",november,"Rul 4")</f>
        <v>0</v>
      </c>
      <c r="AI91" s="500" t="str">
        <f>AB91</f>
        <v>Rul 4 Mandag</v>
      </c>
      <c r="AJ91" s="257">
        <f>COUNTIFS($AE$5:$AE$35,"ma",december,"Rul 4")</f>
        <v>0</v>
      </c>
      <c r="AP91" s="500" t="str">
        <f>AI91</f>
        <v>Rul 4 Mandag</v>
      </c>
      <c r="AQ91" s="257">
        <f>COUNTIFS($AL$5:$AL$35,"ma",januar,"Rul 4")</f>
        <v>0</v>
      </c>
      <c r="AW91" s="500" t="str">
        <f>AP91</f>
        <v>Rul 4 Mandag</v>
      </c>
      <c r="AX91" s="257">
        <f>COUNTIFS($AS$5:$AS$33,"ma",februar,"Rul 4")</f>
        <v>0</v>
      </c>
      <c r="BD91" s="500" t="str">
        <f>AW91</f>
        <v>Rul 4 Mandag</v>
      </c>
      <c r="BE91" s="257">
        <f>COUNTIFS($AZ$5:$AZ$35,"ma",marts,"Rul 4")</f>
        <v>0</v>
      </c>
      <c r="BK91" s="500" t="str">
        <f>BD91</f>
        <v>Rul 4 Mandag</v>
      </c>
      <c r="BL91" s="257">
        <f>COUNTIFS($BG$5:$BG$34,"ma",april,"Rul 4")</f>
        <v>0</v>
      </c>
      <c r="BR91" s="500" t="str">
        <f>BK91</f>
        <v>Rul 4 Mandag</v>
      </c>
      <c r="BS91" s="257">
        <f>COUNTIFS($BN$5:$BN$35,"ma",maj,"Rul 4")</f>
        <v>0</v>
      </c>
      <c r="BY91" s="500" t="str">
        <f>BR91</f>
        <v>Rul 4 Mandag</v>
      </c>
      <c r="BZ91" s="257">
        <f>COUNTIFS($BU$5:$BU$34,"ma",juni,"Rul 4")</f>
        <v>0</v>
      </c>
      <c r="CF91" s="500" t="str">
        <f>BY91</f>
        <v>Rul 4 Mandag</v>
      </c>
      <c r="CG91" s="257">
        <f>COUNTIFS($CB$5:$CB$35,"ma",juli,"Rul 4")</f>
        <v>0</v>
      </c>
      <c r="CI91" s="260" t="str">
        <f>CF91</f>
        <v>Rul 4 Mandag</v>
      </c>
      <c r="CJ91" s="281">
        <f>CG91+BZ91+BS91+BL91+BE91+AX91+AQ91+AJ91+AC91+V91+O91+H91</f>
        <v>0</v>
      </c>
    </row>
    <row r="92" spans="1:88">
      <c r="A92" s="181"/>
      <c r="G92" s="613" t="s">
        <v>230</v>
      </c>
      <c r="H92" s="258">
        <f>COUNTIFS($C$5:$C$35,"ti",august,"Rul 4")</f>
        <v>0</v>
      </c>
      <c r="N92" s="501" t="str">
        <f t="shared" ref="N92:N95" si="120">G92</f>
        <v>Rul 4Tirsdag</v>
      </c>
      <c r="O92" s="258">
        <f>COUNTIFS($J$5:$J$34,"ti",september,"Rul 4")</f>
        <v>0</v>
      </c>
      <c r="U92" s="501" t="str">
        <f t="shared" ref="U92:U95" si="121">N92</f>
        <v>Rul 4Tirsdag</v>
      </c>
      <c r="V92" s="258">
        <f>COUNTIFS($Q$5:$Q$35,"ti",oktober,"Rul 4")</f>
        <v>0</v>
      </c>
      <c r="AB92" s="501" t="str">
        <f t="shared" ref="AB92:AB95" si="122">U92</f>
        <v>Rul 4Tirsdag</v>
      </c>
      <c r="AC92" s="258">
        <f>COUNTIFS($X$5:$X$34,"ti",november,"Rul 4")</f>
        <v>0</v>
      </c>
      <c r="AI92" s="501" t="str">
        <f t="shared" ref="AI92:AI95" si="123">AB92</f>
        <v>Rul 4Tirsdag</v>
      </c>
      <c r="AJ92" s="258">
        <f>COUNTIFS($AE$5:$AE$35,"ti",december,"Rul 4")</f>
        <v>0</v>
      </c>
      <c r="AP92" s="501" t="str">
        <f t="shared" ref="AP92:AP95" si="124">AI92</f>
        <v>Rul 4Tirsdag</v>
      </c>
      <c r="AQ92" s="258">
        <f>COUNTIFS($AL$5:$AL$35,"ti",januar,"Rul 4")</f>
        <v>0</v>
      </c>
      <c r="AW92" s="501" t="str">
        <f t="shared" ref="AW92:AW95" si="125">AP92</f>
        <v>Rul 4Tirsdag</v>
      </c>
      <c r="AX92" s="258">
        <f>COUNTIFS($AS$5:$AS$33,"ti",februar,"Rul 4")</f>
        <v>0</v>
      </c>
      <c r="BD92" s="501" t="str">
        <f t="shared" ref="BD92:BD95" si="126">AW92</f>
        <v>Rul 4Tirsdag</v>
      </c>
      <c r="BE92" s="258">
        <f>COUNTIFS($AZ$5:$AZ$35,"ti",marts,"Rul 4")</f>
        <v>0</v>
      </c>
      <c r="BK92" s="501" t="str">
        <f t="shared" ref="BK92:BK95" si="127">BD92</f>
        <v>Rul 4Tirsdag</v>
      </c>
      <c r="BL92" s="258">
        <f>COUNTIFS($BG$5:$BG$34,"ti",april,"Rul 4")</f>
        <v>0</v>
      </c>
      <c r="BR92" s="501" t="str">
        <f t="shared" ref="BR92:BR95" si="128">BK92</f>
        <v>Rul 4Tirsdag</v>
      </c>
      <c r="BS92" s="258">
        <f>COUNTIFS($BN$5:$BN$35,"ti",maj,"Rul 4")</f>
        <v>0</v>
      </c>
      <c r="BY92" s="501" t="str">
        <f t="shared" ref="BY92:BY95" si="129">BR92</f>
        <v>Rul 4Tirsdag</v>
      </c>
      <c r="BZ92" s="258">
        <f>COUNTIFS($BU$5:$BU$34,"ti",juni,"Rul 4")</f>
        <v>0</v>
      </c>
      <c r="CF92" s="501" t="str">
        <f t="shared" ref="CF92:CF95" si="130">BY92</f>
        <v>Rul 4Tirsdag</v>
      </c>
      <c r="CG92" s="258">
        <f>COUNTIFS($CB$5:$CB$35,"ti",juli,"Rul 4")</f>
        <v>0</v>
      </c>
      <c r="CI92" s="617" t="str">
        <f>CF92</f>
        <v>Rul 4Tirsdag</v>
      </c>
      <c r="CJ92" s="618">
        <f>CG92+BZ92+BS92+BL92+BE92+AX92+AQ92+AJ92+AC92+V92+O92+H92</f>
        <v>0</v>
      </c>
    </row>
    <row r="93" spans="1:88">
      <c r="A93" s="181"/>
      <c r="G93" s="613" t="s">
        <v>231</v>
      </c>
      <c r="H93" s="258">
        <f>COUNTIFS($C$5:$C$35,"on",august,"Rul 4")</f>
        <v>0</v>
      </c>
      <c r="N93" s="501" t="str">
        <f t="shared" si="120"/>
        <v>Rul 4 Onsdag</v>
      </c>
      <c r="O93" s="258">
        <f>COUNTIFS($J$5:$J$34,"on",september,"Rul 4")</f>
        <v>0</v>
      </c>
      <c r="U93" s="501" t="str">
        <f t="shared" si="121"/>
        <v>Rul 4 Onsdag</v>
      </c>
      <c r="V93" s="258">
        <f>COUNTIFS($Q$5:$Q$35,"on",oktober,"Rul 4")</f>
        <v>0</v>
      </c>
      <c r="AB93" s="501" t="str">
        <f t="shared" si="122"/>
        <v>Rul 4 Onsdag</v>
      </c>
      <c r="AC93" s="258">
        <f>COUNTIFS($X$5:$X$34,"on",november,"Rul 4")</f>
        <v>0</v>
      </c>
      <c r="AI93" s="501" t="str">
        <f t="shared" si="123"/>
        <v>Rul 4 Onsdag</v>
      </c>
      <c r="AJ93" s="258">
        <f>COUNTIFS($AE$5:$AE$35,"on",december,"Rul 4")</f>
        <v>0</v>
      </c>
      <c r="AP93" s="501" t="str">
        <f t="shared" si="124"/>
        <v>Rul 4 Onsdag</v>
      </c>
      <c r="AQ93" s="258">
        <f>COUNTIFS($AL$5:$AL$35,"on",januar,"Rul 4")</f>
        <v>0</v>
      </c>
      <c r="AW93" s="501" t="str">
        <f t="shared" si="125"/>
        <v>Rul 4 Onsdag</v>
      </c>
      <c r="AX93" s="258">
        <f>COUNTIFS($AS$5:$AS$33,"on",februar,"Rul 4")</f>
        <v>0</v>
      </c>
      <c r="BD93" s="501" t="str">
        <f t="shared" si="126"/>
        <v>Rul 4 Onsdag</v>
      </c>
      <c r="BE93" s="258">
        <f>COUNTIFS($AZ$5:$AZ$35,"on",marts,"Rul 4")</f>
        <v>0</v>
      </c>
      <c r="BK93" s="501" t="str">
        <f t="shared" si="127"/>
        <v>Rul 4 Onsdag</v>
      </c>
      <c r="BL93" s="258">
        <f>COUNTIFS($BG$5:$BG$34,"on",april,"Rul 4")</f>
        <v>0</v>
      </c>
      <c r="BR93" s="501" t="str">
        <f t="shared" si="128"/>
        <v>Rul 4 Onsdag</v>
      </c>
      <c r="BS93" s="258">
        <f>COUNTIFS($BN$5:$BN$35,"on",maj,"Rul 4")</f>
        <v>0</v>
      </c>
      <c r="BY93" s="501" t="str">
        <f t="shared" si="129"/>
        <v>Rul 4 Onsdag</v>
      </c>
      <c r="BZ93" s="258">
        <f>COUNTIFS($BU$5:$BU$34,"on",juni,"Rul 4")</f>
        <v>0</v>
      </c>
      <c r="CF93" s="501" t="str">
        <f t="shared" si="130"/>
        <v>Rul 4 Onsdag</v>
      </c>
      <c r="CG93" s="258">
        <f>COUNTIFS($CB$5:$CB$35,"on",juli,"Rul 4")</f>
        <v>0</v>
      </c>
      <c r="CI93" s="617" t="str">
        <f>CF93</f>
        <v>Rul 4 Onsdag</v>
      </c>
      <c r="CJ93" s="618">
        <f>CG93+BZ93+BS93+BL93+BE93+AX93+AQ93+AJ93+AC93+V93+O93+H93</f>
        <v>0</v>
      </c>
    </row>
    <row r="94" spans="1:88">
      <c r="A94" s="181"/>
      <c r="G94" s="613" t="s">
        <v>232</v>
      </c>
      <c r="H94" s="258">
        <f>COUNTIFS($C$5:$C$35,"to",august,"Rul 4")</f>
        <v>0</v>
      </c>
      <c r="N94" s="501" t="str">
        <f t="shared" si="120"/>
        <v>Rul 4 Torsdag</v>
      </c>
      <c r="O94" s="258">
        <f>COUNTIFS($J$5:$J$34,"to",september,"Rul 4")</f>
        <v>0</v>
      </c>
      <c r="U94" s="501" t="str">
        <f t="shared" si="121"/>
        <v>Rul 4 Torsdag</v>
      </c>
      <c r="V94" s="258">
        <f>COUNTIFS($Q$5:$Q$35,"to",oktober,"Rul 4")</f>
        <v>0</v>
      </c>
      <c r="AB94" s="501" t="str">
        <f t="shared" si="122"/>
        <v>Rul 4 Torsdag</v>
      </c>
      <c r="AC94" s="258">
        <f>COUNTIFS($X$5:$X$34,"to",november,"Rul 4")</f>
        <v>0</v>
      </c>
      <c r="AI94" s="501" t="str">
        <f t="shared" si="123"/>
        <v>Rul 4 Torsdag</v>
      </c>
      <c r="AJ94" s="258">
        <f>COUNTIFS($AE$5:$AE$35,"to",december,"Rul 4")</f>
        <v>0</v>
      </c>
      <c r="AP94" s="501" t="str">
        <f t="shared" si="124"/>
        <v>Rul 4 Torsdag</v>
      </c>
      <c r="AQ94" s="258">
        <f>COUNTIFS($AL$5:$AL$35,"to",januar,"Rul 4")</f>
        <v>0</v>
      </c>
      <c r="AW94" s="501" t="str">
        <f t="shared" si="125"/>
        <v>Rul 4 Torsdag</v>
      </c>
      <c r="AX94" s="258">
        <f>COUNTIFS($AS$5:$AS$33,"to",februar,"Rul 4")</f>
        <v>0</v>
      </c>
      <c r="BD94" s="501" t="str">
        <f t="shared" si="126"/>
        <v>Rul 4 Torsdag</v>
      </c>
      <c r="BE94" s="258">
        <f>COUNTIFS($AZ$5:$AZ$35,"to",marts,"Rul 4")</f>
        <v>0</v>
      </c>
      <c r="BK94" s="501" t="str">
        <f t="shared" si="127"/>
        <v>Rul 4 Torsdag</v>
      </c>
      <c r="BL94" s="258">
        <f>COUNTIFS($BG$5:$BG$34,"to",april,"Rul 4")</f>
        <v>0</v>
      </c>
      <c r="BR94" s="501" t="str">
        <f t="shared" si="128"/>
        <v>Rul 4 Torsdag</v>
      </c>
      <c r="BS94" s="258">
        <f>COUNTIFS($BN$5:$BN$35,"to",maj,"Rul 4")</f>
        <v>0</v>
      </c>
      <c r="BY94" s="501" t="str">
        <f t="shared" si="129"/>
        <v>Rul 4 Torsdag</v>
      </c>
      <c r="BZ94" s="258">
        <f>COUNTIFS($BU$5:$BU$34,"to",juni,"Rul 4")</f>
        <v>0</v>
      </c>
      <c r="CF94" s="501" t="str">
        <f t="shared" si="130"/>
        <v>Rul 4 Torsdag</v>
      </c>
      <c r="CG94" s="258">
        <f>COUNTIFS($CB$5:$CB$35,"to",juli,"Rul 4")</f>
        <v>0</v>
      </c>
      <c r="CI94" s="617" t="str">
        <f>CF94</f>
        <v>Rul 4 Torsdag</v>
      </c>
      <c r="CJ94" s="618">
        <f>CG94+BZ94+BS94+BL94+BE94+AX94+AQ94+AJ94+AC94+V94+O94+H94</f>
        <v>0</v>
      </c>
    </row>
    <row r="95" spans="1:88">
      <c r="A95" s="181"/>
      <c r="G95" s="614" t="s">
        <v>233</v>
      </c>
      <c r="H95" s="259">
        <f>COUNTIFS($C$5:$C$35,"fr",august,"Rul 4")</f>
        <v>0</v>
      </c>
      <c r="N95" s="502" t="str">
        <f t="shared" si="120"/>
        <v>Rul 4 Fredag</v>
      </c>
      <c r="O95" s="259">
        <f>COUNTIFS($J$5:$J$34,"fr",september,"Rul 4")</f>
        <v>0</v>
      </c>
      <c r="U95" s="502" t="str">
        <f t="shared" si="121"/>
        <v>Rul 4 Fredag</v>
      </c>
      <c r="V95" s="259">
        <f>COUNTIFS($Q$5:$Q$35,"fr",oktober,"Rul 4")</f>
        <v>0</v>
      </c>
      <c r="AB95" s="502" t="str">
        <f t="shared" si="122"/>
        <v>Rul 4 Fredag</v>
      </c>
      <c r="AC95" s="259">
        <f>COUNTIFS($X$5:$X$34,"fr",november,"Rul 4")</f>
        <v>0</v>
      </c>
      <c r="AI95" s="502" t="str">
        <f t="shared" si="123"/>
        <v>Rul 4 Fredag</v>
      </c>
      <c r="AJ95" s="259">
        <f>COUNTIFS($AE$5:$AE$35,"fr",december,"Rul 4")</f>
        <v>0</v>
      </c>
      <c r="AP95" s="502" t="str">
        <f t="shared" si="124"/>
        <v>Rul 4 Fredag</v>
      </c>
      <c r="AQ95" s="259">
        <f>COUNTIFS($AL$5:$AL$35,"fr",januar,"Rul 4")</f>
        <v>0</v>
      </c>
      <c r="AW95" s="502" t="str">
        <f t="shared" si="125"/>
        <v>Rul 4 Fredag</v>
      </c>
      <c r="AX95" s="259">
        <f>COUNTIFS($AS$5:$AS$33,"fr",februar,"Rul 4")</f>
        <v>0</v>
      </c>
      <c r="BD95" s="502" t="str">
        <f t="shared" si="126"/>
        <v>Rul 4 Fredag</v>
      </c>
      <c r="BE95" s="259">
        <f>COUNTIFS($AZ$5:$AZ$35,"fr",marts,"Rul 4")</f>
        <v>0</v>
      </c>
      <c r="BK95" s="502" t="str">
        <f t="shared" si="127"/>
        <v>Rul 4 Fredag</v>
      </c>
      <c r="BL95" s="259">
        <f>COUNTIFS($BG$5:$BG$34,"fr",april,"Rul 4")</f>
        <v>0</v>
      </c>
      <c r="BR95" s="502" t="str">
        <f t="shared" si="128"/>
        <v>Rul 4 Fredag</v>
      </c>
      <c r="BS95" s="259">
        <f>COUNTIFS($BN$5:$BN$35,"fr",maj,"Rul 4")</f>
        <v>0</v>
      </c>
      <c r="BY95" s="502" t="str">
        <f t="shared" si="129"/>
        <v>Rul 4 Fredag</v>
      </c>
      <c r="BZ95" s="259">
        <f>COUNTIFS($BU$5:$BU$34,"fr",juni,"Rul 4")</f>
        <v>0</v>
      </c>
      <c r="CF95" s="502" t="str">
        <f t="shared" si="130"/>
        <v>Rul 4 Fredag</v>
      </c>
      <c r="CG95" s="259">
        <f>COUNTIFS($CB$5:$CB$35,"fr",juli,"Rul 4")</f>
        <v>0</v>
      </c>
      <c r="CI95" s="619" t="str">
        <f>CF95</f>
        <v>Rul 4 Fredag</v>
      </c>
      <c r="CJ95" s="620">
        <f>CG95+BZ95+BS95+BL95+BE95+AX95+AQ95+AJ95+AC95+V95+O95+H95</f>
        <v>0</v>
      </c>
    </row>
    <row r="96" spans="1:88">
      <c r="A96" s="181"/>
    </row>
    <row r="97" spans="1:88">
      <c r="A97" s="181"/>
      <c r="G97" s="612" t="s">
        <v>244</v>
      </c>
      <c r="H97" s="257">
        <f>COUNTIFS($C$5:$C$35,"ma",august,"Koloni")</f>
        <v>0</v>
      </c>
      <c r="N97" s="500" t="str">
        <f>G97</f>
        <v>Koloni Mandag</v>
      </c>
      <c r="O97" s="257">
        <f>COUNTIFS($J$5:$J$34,"ma",september,"Koloni")</f>
        <v>0</v>
      </c>
      <c r="U97" s="500" t="str">
        <f>N97</f>
        <v>Koloni Mandag</v>
      </c>
      <c r="V97" s="257">
        <f>COUNTIFS($Q$5:$Q$35,"ma",oktober,"Koloni")</f>
        <v>0</v>
      </c>
      <c r="AB97" s="500" t="str">
        <f>U97</f>
        <v>Koloni Mandag</v>
      </c>
      <c r="AC97" s="257">
        <f>COUNTIFS($X$5:$X$34,"ma",november,"Koloni")</f>
        <v>0</v>
      </c>
      <c r="AI97" s="500" t="str">
        <f>AB97</f>
        <v>Koloni Mandag</v>
      </c>
      <c r="AJ97" s="257">
        <f>COUNTIFS($AE$5:$AE$35,"ma",december,"Koloni")</f>
        <v>0</v>
      </c>
      <c r="AP97" s="500" t="str">
        <f>AI97</f>
        <v>Koloni Mandag</v>
      </c>
      <c r="AQ97" s="257">
        <f>COUNTIFS($AL$5:$AL$35,"ma",januar,"Koloni")</f>
        <v>0</v>
      </c>
      <c r="AW97" s="500" t="str">
        <f>AP97</f>
        <v>Koloni Mandag</v>
      </c>
      <c r="AX97" s="257">
        <f>COUNTIFS($AS$5:$AS$33,"ma",februar,"Koloni")</f>
        <v>0</v>
      </c>
      <c r="BD97" s="500" t="str">
        <f>AW97</f>
        <v>Koloni Mandag</v>
      </c>
      <c r="BE97" s="257">
        <f>COUNTIFS($AZ$5:$AZ$35,"ma",marts,"Koloni")</f>
        <v>0</v>
      </c>
      <c r="BK97" s="500" t="str">
        <f>BD97</f>
        <v>Koloni Mandag</v>
      </c>
      <c r="BL97" s="257">
        <f>COUNTIFS($BG$5:$BG$34,"ma",april,"Koloni")</f>
        <v>0</v>
      </c>
      <c r="BR97" s="500" t="str">
        <f>BK97</f>
        <v>Koloni Mandag</v>
      </c>
      <c r="BS97" s="257">
        <f>COUNTIFS($BN$5:$BN$35,"ma",maj,"Koloni")</f>
        <v>0</v>
      </c>
      <c r="BY97" s="500" t="str">
        <f>BR97</f>
        <v>Koloni Mandag</v>
      </c>
      <c r="BZ97" s="257">
        <f>COUNTIFS($BU$5:$BU$34,"ma",juni,"Koloni")</f>
        <v>0</v>
      </c>
      <c r="CF97" s="500" t="str">
        <f>BY97</f>
        <v>Koloni Mandag</v>
      </c>
      <c r="CG97" s="257">
        <f>COUNTIFS($CB$5:$CB$35,"ma",juli,"Koloni")</f>
        <v>0</v>
      </c>
      <c r="CI97" s="260" t="str">
        <f t="shared" ref="CI97:CI103" si="131">CF97</f>
        <v>Koloni Mandag</v>
      </c>
      <c r="CJ97" s="281">
        <f t="shared" ref="CJ97:CJ102" si="132">CG97+BZ97+BS97+BL97+BE97+AX97+AQ97+AJ97+AC97+V97+O97+H97</f>
        <v>0</v>
      </c>
    </row>
    <row r="98" spans="1:88">
      <c r="A98" s="181"/>
      <c r="G98" s="613" t="s">
        <v>245</v>
      </c>
      <c r="H98" s="258">
        <f>COUNTIFS($C$5:$C$35,"ti",august,"Koloni")</f>
        <v>0</v>
      </c>
      <c r="N98" s="501" t="str">
        <f t="shared" ref="N98:N101" si="133">G98</f>
        <v>Koloni Tirsdag</v>
      </c>
      <c r="O98" s="258">
        <f>COUNTIFS($J$5:$J$34,"ti",september,"Koloni")</f>
        <v>0</v>
      </c>
      <c r="U98" s="501" t="str">
        <f t="shared" ref="U98:U103" si="134">N98</f>
        <v>Koloni Tirsdag</v>
      </c>
      <c r="V98" s="258">
        <f>COUNTIFS($Q$5:$Q$35,"ti",oktober,"Koloni")</f>
        <v>0</v>
      </c>
      <c r="AB98" s="501" t="str">
        <f t="shared" ref="AB98:AB103" si="135">U98</f>
        <v>Koloni Tirsdag</v>
      </c>
      <c r="AC98" s="258">
        <f>COUNTIFS($X$5:$X$34,"ti",november,"Koloni")</f>
        <v>0</v>
      </c>
      <c r="AI98" s="501" t="str">
        <f t="shared" ref="AI98:AI103" si="136">AB98</f>
        <v>Koloni Tirsdag</v>
      </c>
      <c r="AJ98" s="258">
        <f>COUNTIFS($AE$5:$AE$35,"ti",december,"Koloni")</f>
        <v>0</v>
      </c>
      <c r="AP98" s="501" t="str">
        <f t="shared" ref="AP98:AP103" si="137">AI98</f>
        <v>Koloni Tirsdag</v>
      </c>
      <c r="AQ98" s="258">
        <f>COUNTIFS($AL$5:$AL$35,"ti",januar,"Koloni")</f>
        <v>0</v>
      </c>
      <c r="AW98" s="501" t="str">
        <f t="shared" ref="AW98:AW103" si="138">AP98</f>
        <v>Koloni Tirsdag</v>
      </c>
      <c r="AX98" s="258">
        <f>COUNTIFS($AS$5:$AS$33,"ti",februar,"Koloni")</f>
        <v>0</v>
      </c>
      <c r="BD98" s="501" t="str">
        <f t="shared" ref="BD98:BD103" si="139">AW98</f>
        <v>Koloni Tirsdag</v>
      </c>
      <c r="BE98" s="258">
        <f>COUNTIFS($AZ$5:$AZ$35,"ti",marts,"Koloni")</f>
        <v>0</v>
      </c>
      <c r="BK98" s="501" t="str">
        <f t="shared" ref="BK98:BK103" si="140">BD98</f>
        <v>Koloni Tirsdag</v>
      </c>
      <c r="BL98" s="258">
        <f>COUNTIFS($BG$5:$BG$34,"ti",april,"Koloni")</f>
        <v>0</v>
      </c>
      <c r="BR98" s="501" t="str">
        <f t="shared" ref="BR98:BR103" si="141">BK98</f>
        <v>Koloni Tirsdag</v>
      </c>
      <c r="BS98" s="258">
        <f>COUNTIFS($BN$5:$BN$35,"ti",maj,"Koloni")</f>
        <v>0</v>
      </c>
      <c r="BY98" s="501" t="str">
        <f t="shared" ref="BY98:BY103" si="142">BR98</f>
        <v>Koloni Tirsdag</v>
      </c>
      <c r="BZ98" s="258">
        <f>COUNTIFS($BU$5:$BU$34,"ti",juni,"Koloni")</f>
        <v>0</v>
      </c>
      <c r="CF98" s="501" t="str">
        <f t="shared" ref="CF98:CF103" si="143">BY98</f>
        <v>Koloni Tirsdag</v>
      </c>
      <c r="CG98" s="258">
        <f>COUNTIFS($CB$5:$CB$35,"ti",juli,"Koloni")</f>
        <v>0</v>
      </c>
      <c r="CI98" s="617" t="str">
        <f t="shared" si="131"/>
        <v>Koloni Tirsdag</v>
      </c>
      <c r="CJ98" s="618">
        <f t="shared" si="132"/>
        <v>0</v>
      </c>
    </row>
    <row r="99" spans="1:88">
      <c r="A99" s="181"/>
      <c r="G99" s="613" t="s">
        <v>246</v>
      </c>
      <c r="H99" s="258">
        <f>COUNTIFS($C$5:$C$35,"on",august,"Koloni")</f>
        <v>0</v>
      </c>
      <c r="N99" s="501" t="str">
        <f t="shared" si="133"/>
        <v>Koloni Onsdag</v>
      </c>
      <c r="O99" s="258">
        <f>COUNTIFS($J$5:$J$34,"on",september,"Koloni")</f>
        <v>0</v>
      </c>
      <c r="U99" s="501" t="str">
        <f t="shared" si="134"/>
        <v>Koloni Onsdag</v>
      </c>
      <c r="V99" s="258">
        <f>COUNTIFS($Q$5:$Q$35,"on",oktober,"Koloni")</f>
        <v>0</v>
      </c>
      <c r="AB99" s="501" t="str">
        <f t="shared" si="135"/>
        <v>Koloni Onsdag</v>
      </c>
      <c r="AC99" s="258">
        <f>COUNTIFS($X$5:$X$34,"on",november,"Koloni")</f>
        <v>0</v>
      </c>
      <c r="AI99" s="501" t="str">
        <f t="shared" si="136"/>
        <v>Koloni Onsdag</v>
      </c>
      <c r="AJ99" s="258">
        <f>COUNTIFS($AE$5:$AE$35,"on",december,"Koloni")</f>
        <v>0</v>
      </c>
      <c r="AP99" s="501" t="str">
        <f t="shared" si="137"/>
        <v>Koloni Onsdag</v>
      </c>
      <c r="AQ99" s="258">
        <f>COUNTIFS($AL$5:$AL$35,"on",januar,"Koloni")</f>
        <v>0</v>
      </c>
      <c r="AW99" s="501" t="str">
        <f t="shared" si="138"/>
        <v>Koloni Onsdag</v>
      </c>
      <c r="AX99" s="258">
        <f>COUNTIFS($AS$5:$AS$33,"on",februar,"Koloni")</f>
        <v>0</v>
      </c>
      <c r="BD99" s="501" t="str">
        <f t="shared" si="139"/>
        <v>Koloni Onsdag</v>
      </c>
      <c r="BE99" s="258">
        <f>COUNTIFS($AZ$5:$AZ$35,"on",marts,"Koloni")</f>
        <v>0</v>
      </c>
      <c r="BK99" s="501" t="str">
        <f t="shared" si="140"/>
        <v>Koloni Onsdag</v>
      </c>
      <c r="BL99" s="258">
        <f>COUNTIFS($BG$5:$BG$34,"on",april,"Koloni")</f>
        <v>0</v>
      </c>
      <c r="BR99" s="501" t="str">
        <f t="shared" si="141"/>
        <v>Koloni Onsdag</v>
      </c>
      <c r="BS99" s="258">
        <f>COUNTIFS($BN$5:$BN$35,"on",maj,"Koloni")</f>
        <v>0</v>
      </c>
      <c r="BY99" s="501" t="str">
        <f t="shared" si="142"/>
        <v>Koloni Onsdag</v>
      </c>
      <c r="BZ99" s="258">
        <f>COUNTIFS($BU$5:$BU$34,"on",juni,"Koloni")</f>
        <v>0</v>
      </c>
      <c r="CF99" s="501" t="str">
        <f t="shared" si="143"/>
        <v>Koloni Onsdag</v>
      </c>
      <c r="CG99" s="258">
        <f>COUNTIFS($CB$5:$CB$35,"on",juli,"Koloni")</f>
        <v>0</v>
      </c>
      <c r="CI99" s="617" t="str">
        <f t="shared" si="131"/>
        <v>Koloni Onsdag</v>
      </c>
      <c r="CJ99" s="618">
        <f t="shared" si="132"/>
        <v>0</v>
      </c>
    </row>
    <row r="100" spans="1:88">
      <c r="A100" s="181"/>
      <c r="G100" s="613" t="s">
        <v>247</v>
      </c>
      <c r="H100" s="258">
        <f>COUNTIFS($C$5:$C$35,"to",august,"Koloni")</f>
        <v>0</v>
      </c>
      <c r="N100" s="501" t="str">
        <f t="shared" si="133"/>
        <v>Koloni Torsdag</v>
      </c>
      <c r="O100" s="258">
        <f>COUNTIFS($J$5:$J$34,"to",september,"Koloni")</f>
        <v>0</v>
      </c>
      <c r="U100" s="501" t="str">
        <f t="shared" si="134"/>
        <v>Koloni Torsdag</v>
      </c>
      <c r="V100" s="258">
        <f>COUNTIFS($Q$5:$Q$35,"to",oktober,"Koloni")</f>
        <v>0</v>
      </c>
      <c r="AB100" s="501" t="str">
        <f t="shared" si="135"/>
        <v>Koloni Torsdag</v>
      </c>
      <c r="AC100" s="258">
        <f>COUNTIFS($X$5:$X$34,"to",november,"Koloni")</f>
        <v>0</v>
      </c>
      <c r="AI100" s="501" t="str">
        <f t="shared" si="136"/>
        <v>Koloni Torsdag</v>
      </c>
      <c r="AJ100" s="258">
        <f>COUNTIFS($AE$5:$AE$35,"to",december,"Koloni")</f>
        <v>0</v>
      </c>
      <c r="AP100" s="501" t="str">
        <f t="shared" si="137"/>
        <v>Koloni Torsdag</v>
      </c>
      <c r="AQ100" s="258">
        <f>COUNTIFS($AL$5:$AL$35,"to",januar,"Koloni")</f>
        <v>0</v>
      </c>
      <c r="AW100" s="501" t="str">
        <f t="shared" si="138"/>
        <v>Koloni Torsdag</v>
      </c>
      <c r="AX100" s="258">
        <f>COUNTIFS($AS$5:$AS$33,"to",februar,"Koloni")</f>
        <v>0</v>
      </c>
      <c r="BD100" s="501" t="str">
        <f t="shared" si="139"/>
        <v>Koloni Torsdag</v>
      </c>
      <c r="BE100" s="258">
        <f>COUNTIFS($AZ$5:$AZ$35,"to",marts,"Koloni")</f>
        <v>0</v>
      </c>
      <c r="BK100" s="501" t="str">
        <f t="shared" si="140"/>
        <v>Koloni Torsdag</v>
      </c>
      <c r="BL100" s="258">
        <f>COUNTIFS($BG$5:$BG$34,"to",april,"Koloni")</f>
        <v>0</v>
      </c>
      <c r="BR100" s="501" t="str">
        <f t="shared" si="141"/>
        <v>Koloni Torsdag</v>
      </c>
      <c r="BS100" s="258">
        <f>COUNTIFS($BN$5:$BN$35,"to",maj,"Koloni")</f>
        <v>0</v>
      </c>
      <c r="BY100" s="501" t="str">
        <f t="shared" si="142"/>
        <v>Koloni Torsdag</v>
      </c>
      <c r="BZ100" s="258">
        <f>COUNTIFS($BU$5:$BU$34,"to",juni,"Koloni")</f>
        <v>0</v>
      </c>
      <c r="CF100" s="501" t="str">
        <f t="shared" si="143"/>
        <v>Koloni Torsdag</v>
      </c>
      <c r="CG100" s="258">
        <f>COUNTIFS($CB$5:$CB$35,"to",juli,"Koloni")</f>
        <v>0</v>
      </c>
      <c r="CI100" s="617" t="str">
        <f t="shared" si="131"/>
        <v>Koloni Torsdag</v>
      </c>
      <c r="CJ100" s="618">
        <f t="shared" si="132"/>
        <v>0</v>
      </c>
    </row>
    <row r="101" spans="1:88">
      <c r="A101" s="181"/>
      <c r="G101" s="613" t="s">
        <v>248</v>
      </c>
      <c r="H101" s="258">
        <f>COUNTIFS($C$5:$C$35,"fr",august,"Koloni")</f>
        <v>0</v>
      </c>
      <c r="N101" s="501" t="str">
        <f t="shared" si="133"/>
        <v>Koloni Fredag</v>
      </c>
      <c r="O101" s="258">
        <f>COUNTIFS($J$5:$J$34,"fr",september,"Koloni")</f>
        <v>0</v>
      </c>
      <c r="U101" s="501" t="str">
        <f t="shared" si="134"/>
        <v>Koloni Fredag</v>
      </c>
      <c r="V101" s="258">
        <f>COUNTIFS($Q$5:$Q$35,"fr",oktober,"Koloni")</f>
        <v>0</v>
      </c>
      <c r="AB101" s="501" t="str">
        <f t="shared" si="135"/>
        <v>Koloni Fredag</v>
      </c>
      <c r="AC101" s="258">
        <f>COUNTIFS($X$5:$X$34,"fr",november,"Koloni")</f>
        <v>0</v>
      </c>
      <c r="AI101" s="501" t="str">
        <f t="shared" si="136"/>
        <v>Koloni Fredag</v>
      </c>
      <c r="AJ101" s="258">
        <f>COUNTIFS($AE$5:$AE$35,"fr",december,"Koloni")</f>
        <v>0</v>
      </c>
      <c r="AP101" s="501" t="str">
        <f t="shared" si="137"/>
        <v>Koloni Fredag</v>
      </c>
      <c r="AQ101" s="258">
        <f>COUNTIFS($AL$5:$AL$35,"fr",januar,"Koloni")</f>
        <v>0</v>
      </c>
      <c r="AW101" s="501" t="str">
        <f t="shared" si="138"/>
        <v>Koloni Fredag</v>
      </c>
      <c r="AX101" s="258">
        <f>COUNTIFS($AS$5:$AS$33,"fr",februar,"Koloni")</f>
        <v>0</v>
      </c>
      <c r="BD101" s="501" t="str">
        <f t="shared" si="139"/>
        <v>Koloni Fredag</v>
      </c>
      <c r="BE101" s="258">
        <f>COUNTIFS($AZ$5:$AZ$35,"fr",marts,"Koloni")</f>
        <v>0</v>
      </c>
      <c r="BK101" s="501" t="str">
        <f t="shared" si="140"/>
        <v>Koloni Fredag</v>
      </c>
      <c r="BL101" s="258">
        <f>COUNTIFS($BG$5:$BG$34,"fr",april,"Koloni")</f>
        <v>0</v>
      </c>
      <c r="BR101" s="501" t="str">
        <f t="shared" si="141"/>
        <v>Koloni Fredag</v>
      </c>
      <c r="BS101" s="258">
        <f>COUNTIFS($BN$5:$BN$35,"fr",maj,"Koloni")</f>
        <v>0</v>
      </c>
      <c r="BY101" s="501" t="str">
        <f t="shared" si="142"/>
        <v>Koloni Fredag</v>
      </c>
      <c r="BZ101" s="258">
        <f>COUNTIFS($BU$5:$BU$34,"fr",juni,"Koloni")</f>
        <v>0</v>
      </c>
      <c r="CF101" s="501" t="str">
        <f t="shared" si="143"/>
        <v>Koloni Fredag</v>
      </c>
      <c r="CG101" s="258">
        <f>COUNTIFS($CB$5:$CB$35,"fr",juli,"Koloni")</f>
        <v>0</v>
      </c>
      <c r="CI101" s="617" t="str">
        <f t="shared" si="131"/>
        <v>Koloni Fredag</v>
      </c>
      <c r="CJ101" s="618">
        <f t="shared" si="132"/>
        <v>0</v>
      </c>
    </row>
    <row r="102" spans="1:88">
      <c r="A102" s="181"/>
      <c r="G102" s="613" t="s">
        <v>249</v>
      </c>
      <c r="H102" s="258">
        <f>COUNTIFS($C$5:$C$35,"lø",august,"Koloni")</f>
        <v>0</v>
      </c>
      <c r="N102" s="501" t="str">
        <f t="shared" ref="N102:N103" si="144">G102</f>
        <v>Koloni Lørdag</v>
      </c>
      <c r="O102" s="258">
        <f>COUNTIFS($J$5:$J$34,"lø",september,"Koloni")</f>
        <v>0</v>
      </c>
      <c r="U102" s="501" t="str">
        <f t="shared" si="134"/>
        <v>Koloni Lørdag</v>
      </c>
      <c r="V102" s="258">
        <f>COUNTIFS($Q$5:$Q$35,"lø",oktober,"Koloni")</f>
        <v>0</v>
      </c>
      <c r="AB102" s="501" t="str">
        <f t="shared" si="135"/>
        <v>Koloni Lørdag</v>
      </c>
      <c r="AC102" s="258">
        <f>COUNTIFS($X$5:$X$34,"lø",november,"Koloni")</f>
        <v>0</v>
      </c>
      <c r="AI102" s="501" t="str">
        <f t="shared" si="136"/>
        <v>Koloni Lørdag</v>
      </c>
      <c r="AJ102" s="258">
        <f>COUNTIFS($AE$5:$AE$35,"lø",december,"Koloni")</f>
        <v>0</v>
      </c>
      <c r="AP102" s="501" t="str">
        <f t="shared" si="137"/>
        <v>Koloni Lørdag</v>
      </c>
      <c r="AQ102" s="258">
        <f>COUNTIFS($AL$5:$AL$35,"lø",januar,"Koloni")</f>
        <v>0</v>
      </c>
      <c r="AW102" s="501" t="str">
        <f t="shared" si="138"/>
        <v>Koloni Lørdag</v>
      </c>
      <c r="AX102" s="258">
        <f>COUNTIFS($AS$5:$AS$33,"lø",februar,"Koloni")</f>
        <v>0</v>
      </c>
      <c r="BD102" s="501" t="str">
        <f t="shared" si="139"/>
        <v>Koloni Lørdag</v>
      </c>
      <c r="BE102" s="258">
        <f>COUNTIFS($AZ$5:$AZ$35,"lø",marts,"Koloni")</f>
        <v>0</v>
      </c>
      <c r="BK102" s="501" t="str">
        <f t="shared" si="140"/>
        <v>Koloni Lørdag</v>
      </c>
      <c r="BL102" s="258">
        <f>COUNTIFS($BG$5:$BG$34,"lø",april,"Koloni")</f>
        <v>0</v>
      </c>
      <c r="BR102" s="501" t="str">
        <f t="shared" si="141"/>
        <v>Koloni Lørdag</v>
      </c>
      <c r="BS102" s="258">
        <f>COUNTIFS($BN$5:$BN$35,"lø",maj,"Koloni")</f>
        <v>0</v>
      </c>
      <c r="BY102" s="501" t="str">
        <f t="shared" si="142"/>
        <v>Koloni Lørdag</v>
      </c>
      <c r="BZ102" s="258">
        <f>COUNTIFS($BU$5:$BU$34,"lø",juni,"Koloni")</f>
        <v>0</v>
      </c>
      <c r="CF102" s="501" t="str">
        <f t="shared" si="143"/>
        <v>Koloni Lørdag</v>
      </c>
      <c r="CG102" s="258">
        <f>COUNTIFS($CB$5:$CB$35,"lø",juli,"Koloni")</f>
        <v>0</v>
      </c>
      <c r="CI102" s="501" t="str">
        <f t="shared" si="131"/>
        <v>Koloni Lørdag</v>
      </c>
      <c r="CJ102" s="618">
        <f t="shared" si="132"/>
        <v>0</v>
      </c>
    </row>
    <row r="103" spans="1:88">
      <c r="A103" s="181"/>
      <c r="G103" s="614" t="s">
        <v>250</v>
      </c>
      <c r="H103" s="259">
        <f>COUNTIFS($C$5:$C$35,"sø",august,"Koloni")</f>
        <v>0</v>
      </c>
      <c r="N103" s="502" t="str">
        <f t="shared" si="144"/>
        <v>Koloni Søndag</v>
      </c>
      <c r="O103" s="259">
        <f>COUNTIFS($J$5:$J$34,"sø",september,"Koloni")</f>
        <v>0</v>
      </c>
      <c r="U103" s="502" t="str">
        <f t="shared" si="134"/>
        <v>Koloni Søndag</v>
      </c>
      <c r="V103" s="259">
        <f>COUNTIFS($Q$5:$Q$35,"sø",oktober,"Koloni")</f>
        <v>0</v>
      </c>
      <c r="AB103" s="502" t="str">
        <f t="shared" si="135"/>
        <v>Koloni Søndag</v>
      </c>
      <c r="AC103" s="259">
        <f>COUNTIFS($X$5:$X$34,"sø",november,"Koloni")</f>
        <v>0</v>
      </c>
      <c r="AI103" s="502" t="str">
        <f t="shared" si="136"/>
        <v>Koloni Søndag</v>
      </c>
      <c r="AJ103" s="259">
        <f>COUNTIFS($AE$5:$AE$35,"sø",december,"Koloni")</f>
        <v>0</v>
      </c>
      <c r="AP103" s="502" t="str">
        <f t="shared" si="137"/>
        <v>Koloni Søndag</v>
      </c>
      <c r="AQ103" s="259">
        <f>COUNTIFS($AL$5:$AL$35,"sø",januar,"Koloni")</f>
        <v>0</v>
      </c>
      <c r="AW103" s="502" t="str">
        <f t="shared" si="138"/>
        <v>Koloni Søndag</v>
      </c>
      <c r="AX103" s="259">
        <f>COUNTIFS($AS$5:$AS$33,"sø",februar,"Koloni")</f>
        <v>0</v>
      </c>
      <c r="BD103" s="502" t="str">
        <f t="shared" si="139"/>
        <v>Koloni Søndag</v>
      </c>
      <c r="BE103" s="259">
        <f>COUNTIFS($AZ$5:$AZ$35,"sø",marts,"Koloni")</f>
        <v>0</v>
      </c>
      <c r="BK103" s="502" t="str">
        <f t="shared" si="140"/>
        <v>Koloni Søndag</v>
      </c>
      <c r="BL103" s="259">
        <f>COUNTIFS($BG$5:$BG$34,"sø",april,"Koloni")</f>
        <v>0</v>
      </c>
      <c r="BR103" s="502" t="str">
        <f t="shared" si="141"/>
        <v>Koloni Søndag</v>
      </c>
      <c r="BS103" s="259">
        <f>COUNTIFS($BN$5:$BN$35,"sø",maj,"Koloni")</f>
        <v>0</v>
      </c>
      <c r="BY103" s="502" t="str">
        <f t="shared" si="142"/>
        <v>Koloni Søndag</v>
      </c>
      <c r="BZ103" s="259">
        <f>COUNTIFS($BU$5:$BU$34,"sø",juni,"Koloni")</f>
        <v>0</v>
      </c>
      <c r="CF103" s="502" t="str">
        <f t="shared" si="143"/>
        <v>Koloni Søndag</v>
      </c>
      <c r="CG103" s="259">
        <f>COUNTIFS($CB$5:$CB$35,"sø",juli,"Koloni")</f>
        <v>0</v>
      </c>
      <c r="CI103" s="502" t="str">
        <f t="shared" si="131"/>
        <v>Koloni Søndag</v>
      </c>
      <c r="CJ103" s="620">
        <f t="shared" ref="CJ103" si="145">CG103+BZ103+BS103+BL103+BE103+AX103+AQ103+AJ103+AC103+V103+O103+H103</f>
        <v>0</v>
      </c>
    </row>
  </sheetData>
  <sheetProtection sheet="1" formatCells="0" formatColumns="0" formatRows="0"/>
  <dataConsolidate/>
  <mergeCells count="383">
    <mergeCell ref="A6:A9"/>
    <mergeCell ref="A10:A18"/>
    <mergeCell ref="F3:H4"/>
    <mergeCell ref="M3:O4"/>
    <mergeCell ref="T3:V4"/>
    <mergeCell ref="AA3:AC4"/>
    <mergeCell ref="AH3:AJ4"/>
    <mergeCell ref="CE3:CG4"/>
    <mergeCell ref="AV5:AX5"/>
    <mergeCell ref="BC5:BE5"/>
    <mergeCell ref="BJ5:BL5"/>
    <mergeCell ref="BQ5:BS5"/>
    <mergeCell ref="BX5:BZ5"/>
    <mergeCell ref="CE5:CG5"/>
    <mergeCell ref="F5:H5"/>
    <mergeCell ref="M5:O5"/>
    <mergeCell ref="T5:V5"/>
    <mergeCell ref="AA5:AC5"/>
    <mergeCell ref="AH5:AJ5"/>
    <mergeCell ref="AO5:AQ5"/>
    <mergeCell ref="CE6:CG6"/>
    <mergeCell ref="F7:H7"/>
    <mergeCell ref="M7:O7"/>
    <mergeCell ref="T7:V7"/>
    <mergeCell ref="BQ6:BS6"/>
    <mergeCell ref="BX6:BZ6"/>
    <mergeCell ref="F6:H6"/>
    <mergeCell ref="M6:O6"/>
    <mergeCell ref="T6:V6"/>
    <mergeCell ref="AA6:AC6"/>
    <mergeCell ref="AH6:AJ6"/>
    <mergeCell ref="BQ7:BS7"/>
    <mergeCell ref="BX7:BZ7"/>
    <mergeCell ref="AA7:AC7"/>
    <mergeCell ref="AH7:AJ7"/>
    <mergeCell ref="AO7:AQ7"/>
    <mergeCell ref="AV7:AX7"/>
    <mergeCell ref="BC7:BE7"/>
    <mergeCell ref="BJ7:BL7"/>
    <mergeCell ref="AO6:AQ6"/>
    <mergeCell ref="AV6:AX6"/>
    <mergeCell ref="BC6:BE6"/>
    <mergeCell ref="BJ6:BL6"/>
    <mergeCell ref="CE7:CG7"/>
    <mergeCell ref="BQ8:BS8"/>
    <mergeCell ref="BX8:BZ8"/>
    <mergeCell ref="CE8:CG8"/>
    <mergeCell ref="F9:H9"/>
    <mergeCell ref="M9:O9"/>
    <mergeCell ref="T9:V9"/>
    <mergeCell ref="AA9:AC9"/>
    <mergeCell ref="AH9:AJ9"/>
    <mergeCell ref="CE9:CG9"/>
    <mergeCell ref="AO9:AQ9"/>
    <mergeCell ref="AV9:AX9"/>
    <mergeCell ref="BC9:BE9"/>
    <mergeCell ref="BJ9:BL9"/>
    <mergeCell ref="BQ9:BS9"/>
    <mergeCell ref="BX9:BZ9"/>
    <mergeCell ref="F8:H8"/>
    <mergeCell ref="M8:O8"/>
    <mergeCell ref="T8:V8"/>
    <mergeCell ref="AA8:AC8"/>
    <mergeCell ref="AH8:AJ8"/>
    <mergeCell ref="AO8:AQ8"/>
    <mergeCell ref="AV8:AX8"/>
    <mergeCell ref="BC8:BE8"/>
    <mergeCell ref="BJ8:BL8"/>
    <mergeCell ref="BQ10:BS10"/>
    <mergeCell ref="BX10:BZ10"/>
    <mergeCell ref="CE10:CG10"/>
    <mergeCell ref="F11:H11"/>
    <mergeCell ref="M11:O11"/>
    <mergeCell ref="T11:V11"/>
    <mergeCell ref="AA11:AC11"/>
    <mergeCell ref="AH11:AJ11"/>
    <mergeCell ref="AO11:AQ11"/>
    <mergeCell ref="AV11:AX11"/>
    <mergeCell ref="BC11:BE11"/>
    <mergeCell ref="BJ11:BL11"/>
    <mergeCell ref="BQ11:BS11"/>
    <mergeCell ref="BX11:BZ11"/>
    <mergeCell ref="CE11:CG11"/>
    <mergeCell ref="F10:H10"/>
    <mergeCell ref="M10:O10"/>
    <mergeCell ref="T10:V10"/>
    <mergeCell ref="AA10:AC10"/>
    <mergeCell ref="AH10:AJ10"/>
    <mergeCell ref="AO10:AQ10"/>
    <mergeCell ref="AV10:AX10"/>
    <mergeCell ref="BC10:BE10"/>
    <mergeCell ref="BJ10:BL10"/>
    <mergeCell ref="F12:H12"/>
    <mergeCell ref="M12:O12"/>
    <mergeCell ref="T12:V12"/>
    <mergeCell ref="AA12:AC12"/>
    <mergeCell ref="AH12:AJ12"/>
    <mergeCell ref="CE12:CG12"/>
    <mergeCell ref="F13:H13"/>
    <mergeCell ref="M13:O13"/>
    <mergeCell ref="T13:V13"/>
    <mergeCell ref="AA13:AC13"/>
    <mergeCell ref="AH13:AJ13"/>
    <mergeCell ref="AO13:AQ13"/>
    <mergeCell ref="AV13:AX13"/>
    <mergeCell ref="BC13:BE13"/>
    <mergeCell ref="BJ13:BL13"/>
    <mergeCell ref="AO12:AQ12"/>
    <mergeCell ref="AV12:AX12"/>
    <mergeCell ref="BC12:BE12"/>
    <mergeCell ref="BJ12:BL12"/>
    <mergeCell ref="BQ12:BS12"/>
    <mergeCell ref="BX12:BZ12"/>
    <mergeCell ref="BQ13:BS13"/>
    <mergeCell ref="BX13:BZ13"/>
    <mergeCell ref="CE13:CG13"/>
    <mergeCell ref="F14:H14"/>
    <mergeCell ref="M14:O14"/>
    <mergeCell ref="T14:V14"/>
    <mergeCell ref="AA14:AC14"/>
    <mergeCell ref="AH14:AJ14"/>
    <mergeCell ref="AO14:AQ14"/>
    <mergeCell ref="AV14:AX14"/>
    <mergeCell ref="BC14:BE14"/>
    <mergeCell ref="BJ14:BL14"/>
    <mergeCell ref="BQ14:BS14"/>
    <mergeCell ref="BX14:BZ14"/>
    <mergeCell ref="CE14:CG14"/>
    <mergeCell ref="F15:H15"/>
    <mergeCell ref="M15:O15"/>
    <mergeCell ref="T15:V15"/>
    <mergeCell ref="AA15:AC15"/>
    <mergeCell ref="F17:H17"/>
    <mergeCell ref="M17:O17"/>
    <mergeCell ref="T17:V17"/>
    <mergeCell ref="AA17:AC17"/>
    <mergeCell ref="AH17:AJ17"/>
    <mergeCell ref="AO17:AQ17"/>
    <mergeCell ref="BX15:BZ15"/>
    <mergeCell ref="CE15:CG15"/>
    <mergeCell ref="F16:H16"/>
    <mergeCell ref="M16:O16"/>
    <mergeCell ref="T16:V16"/>
    <mergeCell ref="AA16:AC16"/>
    <mergeCell ref="AH16:AJ16"/>
    <mergeCell ref="AO16:AQ16"/>
    <mergeCell ref="AV16:AX16"/>
    <mergeCell ref="AH15:AJ15"/>
    <mergeCell ref="AO15:AQ15"/>
    <mergeCell ref="AV15:AX15"/>
    <mergeCell ref="BC15:BE15"/>
    <mergeCell ref="BJ15:BL15"/>
    <mergeCell ref="BQ15:BS15"/>
    <mergeCell ref="AV17:AX17"/>
    <mergeCell ref="BC17:BE17"/>
    <mergeCell ref="BJ17:BL17"/>
    <mergeCell ref="BQ17:BS17"/>
    <mergeCell ref="BX17:BZ17"/>
    <mergeCell ref="CE17:CG17"/>
    <mergeCell ref="BJ16:BL16"/>
    <mergeCell ref="BQ16:BS16"/>
    <mergeCell ref="BX16:BZ16"/>
    <mergeCell ref="CE16:CG16"/>
    <mergeCell ref="AV18:AX18"/>
    <mergeCell ref="BC18:BE18"/>
    <mergeCell ref="BJ18:BL18"/>
    <mergeCell ref="BQ18:BS18"/>
    <mergeCell ref="BX18:BZ18"/>
    <mergeCell ref="CE18:CG18"/>
    <mergeCell ref="BC16:BE16"/>
    <mergeCell ref="F18:H18"/>
    <mergeCell ref="M18:O18"/>
    <mergeCell ref="T18:V18"/>
    <mergeCell ref="AA18:AC18"/>
    <mergeCell ref="AH18:AJ18"/>
    <mergeCell ref="AO18:AQ18"/>
    <mergeCell ref="BX20:BZ20"/>
    <mergeCell ref="CE20:CG20"/>
    <mergeCell ref="F20:H20"/>
    <mergeCell ref="M20:O20"/>
    <mergeCell ref="T20:V20"/>
    <mergeCell ref="AA20:AC20"/>
    <mergeCell ref="AH20:AJ20"/>
    <mergeCell ref="AO20:AQ20"/>
    <mergeCell ref="AV19:AX19"/>
    <mergeCell ref="BC19:BE19"/>
    <mergeCell ref="BJ19:BL19"/>
    <mergeCell ref="BQ19:BS19"/>
    <mergeCell ref="BX19:BZ19"/>
    <mergeCell ref="CE19:CG19"/>
    <mergeCell ref="F19:H19"/>
    <mergeCell ref="M19:O19"/>
    <mergeCell ref="T19:V19"/>
    <mergeCell ref="AA19:AC19"/>
    <mergeCell ref="BJ20:BL20"/>
    <mergeCell ref="BQ20:BS20"/>
    <mergeCell ref="A21:A22"/>
    <mergeCell ref="F23:H23"/>
    <mergeCell ref="M23:O23"/>
    <mergeCell ref="T23:V23"/>
    <mergeCell ref="AA23:AC23"/>
    <mergeCell ref="AH23:AJ23"/>
    <mergeCell ref="AO23:AQ23"/>
    <mergeCell ref="A19:A20"/>
    <mergeCell ref="AV23:AX23"/>
    <mergeCell ref="BC23:BE23"/>
    <mergeCell ref="BJ23:BL23"/>
    <mergeCell ref="BQ23:BS23"/>
    <mergeCell ref="BQ22:BS22"/>
    <mergeCell ref="AH19:AJ19"/>
    <mergeCell ref="AO19:AQ19"/>
    <mergeCell ref="F21:H21"/>
    <mergeCell ref="M21:O21"/>
    <mergeCell ref="T21:V21"/>
    <mergeCell ref="AA21:AC21"/>
    <mergeCell ref="AH21:AJ21"/>
    <mergeCell ref="AV20:AX20"/>
    <mergeCell ref="BC20:BE20"/>
    <mergeCell ref="F24:H24"/>
    <mergeCell ref="M24:O24"/>
    <mergeCell ref="T24:V24"/>
    <mergeCell ref="AA24:AC24"/>
    <mergeCell ref="AH24:AJ24"/>
    <mergeCell ref="AO24:AQ24"/>
    <mergeCell ref="CE21:CG21"/>
    <mergeCell ref="F22:H22"/>
    <mergeCell ref="M22:O22"/>
    <mergeCell ref="T22:V22"/>
    <mergeCell ref="AA22:AC22"/>
    <mergeCell ref="AH22:AJ22"/>
    <mergeCell ref="AO22:AQ22"/>
    <mergeCell ref="AV22:AX22"/>
    <mergeCell ref="BC22:BE22"/>
    <mergeCell ref="BJ22:BL22"/>
    <mergeCell ref="AO21:AQ21"/>
    <mergeCell ref="AV21:AX21"/>
    <mergeCell ref="BC21:BE21"/>
    <mergeCell ref="BJ21:BL21"/>
    <mergeCell ref="BQ21:BS21"/>
    <mergeCell ref="BX21:BZ21"/>
    <mergeCell ref="BX23:BZ23"/>
    <mergeCell ref="CE23:CG23"/>
    <mergeCell ref="BX22:BZ22"/>
    <mergeCell ref="CE22:CG22"/>
    <mergeCell ref="AV24:AX24"/>
    <mergeCell ref="BC24:BE24"/>
    <mergeCell ref="BJ24:BL24"/>
    <mergeCell ref="BQ24:BS24"/>
    <mergeCell ref="BX24:BZ24"/>
    <mergeCell ref="CE24:CG24"/>
    <mergeCell ref="AV25:AX25"/>
    <mergeCell ref="BC25:BE25"/>
    <mergeCell ref="BJ25:BL25"/>
    <mergeCell ref="BQ25:BS25"/>
    <mergeCell ref="BX25:BZ25"/>
    <mergeCell ref="CE25:CG25"/>
    <mergeCell ref="F25:H25"/>
    <mergeCell ref="M25:O25"/>
    <mergeCell ref="T25:V25"/>
    <mergeCell ref="AA25:AC25"/>
    <mergeCell ref="AH25:AJ25"/>
    <mergeCell ref="AO25:AQ25"/>
    <mergeCell ref="AV26:AX26"/>
    <mergeCell ref="BC26:BE26"/>
    <mergeCell ref="BJ26:BL26"/>
    <mergeCell ref="BQ26:BS26"/>
    <mergeCell ref="BX26:BZ26"/>
    <mergeCell ref="CE26:CG26"/>
    <mergeCell ref="F26:H26"/>
    <mergeCell ref="M26:O26"/>
    <mergeCell ref="T26:V26"/>
    <mergeCell ref="AA26:AC26"/>
    <mergeCell ref="AH26:AJ26"/>
    <mergeCell ref="AO26:AQ26"/>
    <mergeCell ref="AV27:AX27"/>
    <mergeCell ref="BC27:BE27"/>
    <mergeCell ref="BJ27:BL27"/>
    <mergeCell ref="BQ27:BS27"/>
    <mergeCell ref="BX27:BZ27"/>
    <mergeCell ref="CE27:CG27"/>
    <mergeCell ref="F27:H27"/>
    <mergeCell ref="M27:O27"/>
    <mergeCell ref="T27:V27"/>
    <mergeCell ref="AA27:AC27"/>
    <mergeCell ref="AH27:AJ27"/>
    <mergeCell ref="AO27:AQ27"/>
    <mergeCell ref="AV28:AX28"/>
    <mergeCell ref="BC28:BE28"/>
    <mergeCell ref="BJ28:BL28"/>
    <mergeCell ref="BQ28:BS28"/>
    <mergeCell ref="BX28:BZ28"/>
    <mergeCell ref="CE28:CG28"/>
    <mergeCell ref="F28:H28"/>
    <mergeCell ref="M28:O28"/>
    <mergeCell ref="T28:V28"/>
    <mergeCell ref="AA28:AC28"/>
    <mergeCell ref="AH28:AJ28"/>
    <mergeCell ref="AO28:AQ28"/>
    <mergeCell ref="AV29:AX29"/>
    <mergeCell ref="BC29:BE29"/>
    <mergeCell ref="BJ29:BL29"/>
    <mergeCell ref="BQ29:BS29"/>
    <mergeCell ref="BX29:BZ29"/>
    <mergeCell ref="CE29:CG29"/>
    <mergeCell ref="F29:H29"/>
    <mergeCell ref="M29:O29"/>
    <mergeCell ref="T29:V29"/>
    <mergeCell ref="AA29:AC29"/>
    <mergeCell ref="AH29:AJ29"/>
    <mergeCell ref="AO29:AQ29"/>
    <mergeCell ref="AV30:AX30"/>
    <mergeCell ref="BC30:BE30"/>
    <mergeCell ref="BJ30:BL30"/>
    <mergeCell ref="BQ30:BS30"/>
    <mergeCell ref="BX30:BZ30"/>
    <mergeCell ref="CE30:CG30"/>
    <mergeCell ref="F30:H30"/>
    <mergeCell ref="M30:O30"/>
    <mergeCell ref="T30:V30"/>
    <mergeCell ref="AA30:AC30"/>
    <mergeCell ref="AH30:AJ30"/>
    <mergeCell ref="AO30:AQ30"/>
    <mergeCell ref="AV31:AX31"/>
    <mergeCell ref="BC31:BE31"/>
    <mergeCell ref="BJ31:BL31"/>
    <mergeCell ref="BQ31:BS31"/>
    <mergeCell ref="BX31:BZ31"/>
    <mergeCell ref="CE31:CG31"/>
    <mergeCell ref="F31:H31"/>
    <mergeCell ref="M31:O31"/>
    <mergeCell ref="T31:V31"/>
    <mergeCell ref="AA31:AC31"/>
    <mergeCell ref="AH31:AJ31"/>
    <mergeCell ref="AO31:AQ31"/>
    <mergeCell ref="AV32:AX32"/>
    <mergeCell ref="BC32:BE32"/>
    <mergeCell ref="BJ32:BL32"/>
    <mergeCell ref="BQ32:BS32"/>
    <mergeCell ref="BX32:BZ32"/>
    <mergeCell ref="CE32:CG32"/>
    <mergeCell ref="F32:H32"/>
    <mergeCell ref="M32:O32"/>
    <mergeCell ref="T32:V32"/>
    <mergeCell ref="AA32:AC32"/>
    <mergeCell ref="AH32:AJ32"/>
    <mergeCell ref="AO32:AQ32"/>
    <mergeCell ref="F34:H34"/>
    <mergeCell ref="M34:O34"/>
    <mergeCell ref="T34:V34"/>
    <mergeCell ref="AA34:AC34"/>
    <mergeCell ref="AH34:AJ34"/>
    <mergeCell ref="F33:H33"/>
    <mergeCell ref="M33:O33"/>
    <mergeCell ref="T33:V33"/>
    <mergeCell ref="AA33:AC33"/>
    <mergeCell ref="AH33:AJ33"/>
    <mergeCell ref="AO34:AQ34"/>
    <mergeCell ref="BC34:BE34"/>
    <mergeCell ref="BJ34:BL34"/>
    <mergeCell ref="BQ34:BS34"/>
    <mergeCell ref="BX34:BZ34"/>
    <mergeCell ref="CE34:CG34"/>
    <mergeCell ref="BC33:BE33"/>
    <mergeCell ref="BJ33:BL33"/>
    <mergeCell ref="BQ33:BS33"/>
    <mergeCell ref="BX33:BZ33"/>
    <mergeCell ref="CE33:CG33"/>
    <mergeCell ref="AO33:AQ33"/>
    <mergeCell ref="AV33:AX33"/>
    <mergeCell ref="AV34:AX34"/>
    <mergeCell ref="BQ35:BS35"/>
    <mergeCell ref="CE35:CG35"/>
    <mergeCell ref="A41:A44"/>
    <mergeCell ref="F35:H35"/>
    <mergeCell ref="T35:V35"/>
    <mergeCell ref="AH35:AJ35"/>
    <mergeCell ref="AO35:AQ35"/>
    <mergeCell ref="BC35:BE35"/>
    <mergeCell ref="M35:O35"/>
    <mergeCell ref="AA35:AC35"/>
    <mergeCell ref="AV35:AX35"/>
    <mergeCell ref="BJ35:BL35"/>
    <mergeCell ref="BX35:BZ35"/>
  </mergeCells>
  <phoneticPr fontId="16" type="noConversion"/>
  <conditionalFormatting sqref="B5:F35">
    <cfRule type="expression" dxfId="215" priority="50">
      <formula>OR($D5="Rul 4")</formula>
    </cfRule>
    <cfRule type="expression" dxfId="214" priority="51">
      <formula>OR($D5="Rul 3")</formula>
    </cfRule>
    <cfRule type="expression" dxfId="213" priority="52">
      <formula>OR($D5="Rul 2")</formula>
    </cfRule>
    <cfRule type="expression" dxfId="212" priority="53">
      <formula>OR($D5="Rul 1")</formula>
    </cfRule>
    <cfRule type="expression" dxfId="211" priority="238">
      <formula>OR($D5="Særlig uge 1")</formula>
    </cfRule>
    <cfRule type="expression" dxfId="210" priority="239">
      <formula>OR($D5="Særlig uge 4")</formula>
    </cfRule>
    <cfRule type="expression" dxfId="209" priority="240">
      <formula>OR($D5="Særlig uge 3")</formula>
    </cfRule>
    <cfRule type="expression" dxfId="208" priority="244">
      <formula>OR($D5="Ikke relevant")</formula>
    </cfRule>
    <cfRule type="expression" dxfId="207" priority="395">
      <formula>OR($D5="Pæd.dag")</formula>
    </cfRule>
    <cfRule type="expression" dxfId="206" priority="396">
      <formula>OR($D5="Nul-dag")</formula>
    </cfRule>
    <cfRule type="expression" dxfId="205" priority="397">
      <formula>OR($D5="SH-dag")</formula>
    </cfRule>
    <cfRule type="expression" dxfId="204" priority="398">
      <formula>OR($D5="Ekskursion")</formula>
    </cfRule>
    <cfRule type="expression" dxfId="203" priority="399">
      <formula>OR($D5="Koloni")</formula>
    </cfRule>
    <cfRule type="expression" dxfId="202" priority="400">
      <formula>OR($D5="Normal uge 2")</formula>
    </cfRule>
    <cfRule type="expression" dxfId="201" priority="401">
      <formula>OR($D5="Særlig uge 2")</formula>
    </cfRule>
    <cfRule type="expression" dxfId="200" priority="402">
      <formula>OR($D5="Feriedag")</formula>
    </cfRule>
    <cfRule type="expression" dxfId="199" priority="403">
      <formula>OR($D5="weekend")</formula>
    </cfRule>
    <cfRule type="expression" dxfId="198" priority="404" stopIfTrue="1">
      <formula>OR($D5="Normal uge 1")</formula>
    </cfRule>
  </conditionalFormatting>
  <conditionalFormatting sqref="I5:M35">
    <cfRule type="expression" dxfId="197" priority="46">
      <formula>OR($K5="Rul 4")</formula>
    </cfRule>
    <cfRule type="expression" dxfId="196" priority="47">
      <formula>OR($K5="Rul 3")</formula>
    </cfRule>
    <cfRule type="expression" dxfId="195" priority="48">
      <formula>OR($K5="Rul 2")</formula>
    </cfRule>
    <cfRule type="expression" dxfId="194" priority="49">
      <formula>OR($K5="Rul 1")</formula>
    </cfRule>
    <cfRule type="expression" dxfId="193" priority="210">
      <formula>OR($K5="Særlig uge 1")</formula>
    </cfRule>
    <cfRule type="expression" dxfId="192" priority="211">
      <formula>OR($K5="Særlig uge 4")</formula>
    </cfRule>
    <cfRule type="expression" dxfId="191" priority="212">
      <formula>OR($K5="Særlig uge 3")</formula>
    </cfRule>
    <cfRule type="expression" dxfId="190" priority="213">
      <formula>OR($K5="Ikke relevant")</formula>
    </cfRule>
    <cfRule type="expression" dxfId="189" priority="214">
      <formula>OR($K5="Pæd.dag")</formula>
    </cfRule>
    <cfRule type="expression" dxfId="188" priority="215">
      <formula>OR($K5="Nul-dag")</formula>
    </cfRule>
    <cfRule type="expression" dxfId="187" priority="216">
      <formula>OR($K5="SH-dag")</formula>
    </cfRule>
    <cfRule type="expression" dxfId="186" priority="217">
      <formula>OR($K5="Ekskursion")</formula>
    </cfRule>
    <cfRule type="expression" dxfId="185" priority="218">
      <formula>OR($K5="Koloni")</formula>
    </cfRule>
    <cfRule type="expression" dxfId="184" priority="219">
      <formula>OR($K5="Normal uge 2")</formula>
    </cfRule>
    <cfRule type="expression" dxfId="183" priority="220">
      <formula>OR($K5="Særlig uge 2")</formula>
    </cfRule>
    <cfRule type="expression" dxfId="182" priority="221">
      <formula>OR($K5="Feriedag")</formula>
    </cfRule>
    <cfRule type="expression" dxfId="181" priority="222">
      <formula>OR($K5="weekend")</formula>
    </cfRule>
    <cfRule type="expression" dxfId="180" priority="223" stopIfTrue="1">
      <formula>OR($K5="Normal uge 1")</formula>
    </cfRule>
  </conditionalFormatting>
  <conditionalFormatting sqref="P5:T35">
    <cfRule type="expression" dxfId="179" priority="41">
      <formula>OR($R5="Rul 4")</formula>
    </cfRule>
    <cfRule type="expression" dxfId="178" priority="42">
      <formula>OR($R5="Rul 3")</formula>
    </cfRule>
    <cfRule type="expression" dxfId="177" priority="43">
      <formula>OR($R5="Rul 2")</formula>
    </cfRule>
    <cfRule type="expression" dxfId="176" priority="44">
      <formula>OR($R5="Rul 1")</formula>
    </cfRule>
    <cfRule type="expression" dxfId="175" priority="196">
      <formula>OR($R5="Særlig uge 1")</formula>
    </cfRule>
    <cfRule type="expression" dxfId="174" priority="197">
      <formula>OR($R5="Særlig uge 4")</formula>
    </cfRule>
    <cfRule type="expression" dxfId="173" priority="198">
      <formula>OR($R5="Særlig uge 3")</formula>
    </cfRule>
    <cfRule type="expression" dxfId="172" priority="199">
      <formula>OR($R5="Ikke relevant")</formula>
    </cfRule>
    <cfRule type="expression" dxfId="171" priority="200">
      <formula>OR($R5="Pæd.dag")</formula>
    </cfRule>
    <cfRule type="expression" dxfId="170" priority="201">
      <formula>OR($R5="Nul-dag")</formula>
    </cfRule>
    <cfRule type="expression" dxfId="169" priority="202">
      <formula>OR($R5="SH-dag")</formula>
    </cfRule>
    <cfRule type="expression" dxfId="168" priority="203">
      <formula>OR($R5="Ekskursion")</formula>
    </cfRule>
    <cfRule type="expression" dxfId="167" priority="204">
      <formula>OR($R5="Koloni")</formula>
    </cfRule>
    <cfRule type="expression" dxfId="166" priority="205">
      <formula>OR($R5="Normal uge 2")</formula>
    </cfRule>
    <cfRule type="expression" dxfId="165" priority="206">
      <formula>OR($R5="Særlig uge 2")</formula>
    </cfRule>
    <cfRule type="expression" dxfId="164" priority="207">
      <formula>OR($R5="Feriedag")</formula>
    </cfRule>
    <cfRule type="expression" dxfId="163" priority="208">
      <formula>OR($R5="weekend")</formula>
    </cfRule>
    <cfRule type="expression" dxfId="162" priority="209" stopIfTrue="1">
      <formula>OR($R5="Normal uge 1")</formula>
    </cfRule>
  </conditionalFormatting>
  <conditionalFormatting sqref="W5:AA35">
    <cfRule type="expression" dxfId="161" priority="37">
      <formula>OR($Y5="Rul 4")</formula>
    </cfRule>
    <cfRule type="expression" dxfId="160" priority="38">
      <formula>OR($Y5="Rul 3")</formula>
    </cfRule>
    <cfRule type="expression" dxfId="159" priority="39">
      <formula>OR($Y5="Rul 2")</formula>
    </cfRule>
    <cfRule type="expression" dxfId="158" priority="40">
      <formula>OR($Y5="Rul 1")</formula>
    </cfRule>
    <cfRule type="expression" dxfId="157" priority="182">
      <formula>OR($Y5="Særlig uge 1")</formula>
    </cfRule>
    <cfRule type="expression" dxfId="156" priority="183">
      <formula>OR($Y5="Særlig uge 4")</formula>
    </cfRule>
    <cfRule type="expression" dxfId="155" priority="184">
      <formula>OR($Y5="Særlig uge 3")</formula>
    </cfRule>
    <cfRule type="expression" dxfId="154" priority="185">
      <formula>OR($Y5="Ikke relevant")</formula>
    </cfRule>
    <cfRule type="expression" dxfId="153" priority="186">
      <formula>OR($Y5="Pæd.dag")</formula>
    </cfRule>
    <cfRule type="expression" dxfId="152" priority="187">
      <formula>OR($Y5="Nul-dag")</formula>
    </cfRule>
    <cfRule type="expression" dxfId="151" priority="188">
      <formula>OR($Y5="SH-dag")</formula>
    </cfRule>
    <cfRule type="expression" dxfId="150" priority="189">
      <formula>OR($Y5="Ekskursion")</formula>
    </cfRule>
    <cfRule type="expression" dxfId="149" priority="190">
      <formula>OR($Y5="Koloni")</formula>
    </cfRule>
    <cfRule type="expression" dxfId="148" priority="191">
      <formula>OR($Y5="Normal uge 2")</formula>
    </cfRule>
    <cfRule type="expression" dxfId="147" priority="192">
      <formula>OR($Y5="Særlig uge 2")</formula>
    </cfRule>
    <cfRule type="expression" dxfId="146" priority="193">
      <formula>OR($Y5="Feriedag")</formula>
    </cfRule>
    <cfRule type="expression" dxfId="145" priority="194">
      <formula>OR($Y5="weekend")</formula>
    </cfRule>
    <cfRule type="expression" dxfId="144" priority="195" stopIfTrue="1">
      <formula>OR($Y5="Normal uge 1")</formula>
    </cfRule>
  </conditionalFormatting>
  <conditionalFormatting sqref="AD5:AH35">
    <cfRule type="expression" dxfId="143" priority="33">
      <formula>OR($AF5="Rul 4")</formula>
    </cfRule>
    <cfRule type="expression" dxfId="142" priority="34">
      <formula>OR($AF5="Rul 3")</formula>
    </cfRule>
    <cfRule type="expression" dxfId="141" priority="35">
      <formula>OR($AF5="Rul 2")</formula>
    </cfRule>
    <cfRule type="expression" dxfId="140" priority="36">
      <formula>OR($AF5="Rul 1")</formula>
    </cfRule>
    <cfRule type="expression" dxfId="139" priority="168">
      <formula>OR($AF5="Særlig uge 1")</formula>
    </cfRule>
    <cfRule type="expression" dxfId="138" priority="169">
      <formula>OR($AF5="Særlig uge 4")</formula>
    </cfRule>
    <cfRule type="expression" dxfId="137" priority="170">
      <formula>OR($AF5="Særlig uge 3")</formula>
    </cfRule>
    <cfRule type="expression" dxfId="136" priority="171">
      <formula>OR($AF5="Ikke relevant")</formula>
    </cfRule>
    <cfRule type="expression" dxfId="135" priority="172">
      <formula>OR($AF5="Pæd.dag")</formula>
    </cfRule>
    <cfRule type="expression" dxfId="134" priority="173">
      <formula>OR($AF5="Nul-dag")</formula>
    </cfRule>
    <cfRule type="expression" dxfId="133" priority="174">
      <formula>OR($AF5="SH-dag")</formula>
    </cfRule>
    <cfRule type="expression" dxfId="132" priority="175">
      <formula>OR($AF5="Ekskursion")</formula>
    </cfRule>
    <cfRule type="expression" dxfId="131" priority="176">
      <formula>OR($AF5="Koloni")</formula>
    </cfRule>
    <cfRule type="expression" dxfId="130" priority="177">
      <formula>OR($AF5="Normal uge 2")</formula>
    </cfRule>
    <cfRule type="expression" dxfId="129" priority="178">
      <formula>OR($AF5="Særlig uge 2")</formula>
    </cfRule>
    <cfRule type="expression" dxfId="128" priority="179">
      <formula>OR($AF5="Feriedag")</formula>
    </cfRule>
    <cfRule type="expression" dxfId="127" priority="180">
      <formula>OR($AF5="weekend")</formula>
    </cfRule>
    <cfRule type="expression" dxfId="126" priority="181" stopIfTrue="1">
      <formula>OR($AF5="Normal uge 1")</formula>
    </cfRule>
  </conditionalFormatting>
  <conditionalFormatting sqref="AK5:AO35">
    <cfRule type="expression" dxfId="125" priority="28">
      <formula>OR($AM5="Rul 4")</formula>
    </cfRule>
    <cfRule type="expression" dxfId="124" priority="29">
      <formula>OR($AM5="Rul 3")</formula>
    </cfRule>
    <cfRule type="expression" dxfId="123" priority="30">
      <formula>OR($AM5="Rul 2")</formula>
    </cfRule>
    <cfRule type="expression" dxfId="122" priority="31">
      <formula>OR($AM5="Rul 1")</formula>
    </cfRule>
    <cfRule type="expression" dxfId="121" priority="154">
      <formula>OR($AM5="Særlig uge 1")</formula>
    </cfRule>
    <cfRule type="expression" dxfId="120" priority="155">
      <formula>OR($AM5="Særlig uge 4")</formula>
    </cfRule>
    <cfRule type="expression" dxfId="119" priority="156">
      <formula>OR($AM5="Særlig uge 3")</formula>
    </cfRule>
    <cfRule type="expression" dxfId="118" priority="157">
      <formula>OR($AM5="Ikke relevant")</formula>
    </cfRule>
    <cfRule type="expression" dxfId="117" priority="158">
      <formula>OR($AM5="Pæd.dag")</formula>
    </cfRule>
    <cfRule type="expression" dxfId="116" priority="159">
      <formula>OR($AM5="Nul-dag")</formula>
    </cfRule>
    <cfRule type="expression" dxfId="115" priority="160">
      <formula>OR($AM5="SH-dag")</formula>
    </cfRule>
    <cfRule type="expression" dxfId="114" priority="161">
      <formula>OR($AM5="Ekskursion")</formula>
    </cfRule>
    <cfRule type="expression" dxfId="113" priority="162">
      <formula>OR($AM5="Koloni")</formula>
    </cfRule>
    <cfRule type="expression" dxfId="112" priority="163">
      <formula>OR($AM5="Normal uge 2")</formula>
    </cfRule>
    <cfRule type="expression" dxfId="111" priority="164">
      <formula>OR($AM5="Særlig uge 2")</formula>
    </cfRule>
    <cfRule type="expression" dxfId="110" priority="165">
      <formula>OR($AM5="Feriedag")</formula>
    </cfRule>
    <cfRule type="expression" dxfId="109" priority="166">
      <formula>OR($AM5="weekend")</formula>
    </cfRule>
    <cfRule type="expression" dxfId="108" priority="167" stopIfTrue="1">
      <formula>OR($AM5="Normal uge 1")</formula>
    </cfRule>
  </conditionalFormatting>
  <conditionalFormatting sqref="AR5:AV35">
    <cfRule type="expression" dxfId="107" priority="24">
      <formula>OR($AT5="Rul 4")</formula>
    </cfRule>
    <cfRule type="expression" dxfId="106" priority="25">
      <formula>OR($AT5="Rul 3")</formula>
    </cfRule>
    <cfRule type="expression" dxfId="105" priority="26">
      <formula>OR($AT5="Rul 2")</formula>
    </cfRule>
    <cfRule type="expression" dxfId="104" priority="27">
      <formula>OR($AT5="Rul 1")</formula>
    </cfRule>
    <cfRule type="expression" dxfId="103" priority="140">
      <formula>OR($AT5="Særlig uge 1")</formula>
    </cfRule>
    <cfRule type="expression" dxfId="102" priority="141">
      <formula>OR($AT5="Særlig uge 4")</formula>
    </cfRule>
    <cfRule type="expression" dxfId="101" priority="142">
      <formula>OR($AT5="Særlig uge 3")</formula>
    </cfRule>
    <cfRule type="expression" dxfId="100" priority="143">
      <formula>OR($AT5="Ikke relevant")</formula>
    </cfRule>
    <cfRule type="expression" dxfId="99" priority="144">
      <formula>OR($AT5="Pæd.dag")</formula>
    </cfRule>
    <cfRule type="expression" dxfId="98" priority="145">
      <formula>OR($AT5="Nul-dag")</formula>
    </cfRule>
    <cfRule type="expression" dxfId="97" priority="146">
      <formula>OR($AT5="SH-dag")</formula>
    </cfRule>
    <cfRule type="expression" dxfId="96" priority="147">
      <formula>OR($AT5="Ekskursion")</formula>
    </cfRule>
    <cfRule type="expression" dxfId="95" priority="148">
      <formula>OR($AT5="Koloni")</formula>
    </cfRule>
    <cfRule type="expression" dxfId="94" priority="149">
      <formula>OR($AT5="Normal uge 2")</formula>
    </cfRule>
    <cfRule type="expression" dxfId="93" priority="150">
      <formula>OR($AT5="Særlig uge 2")</formula>
    </cfRule>
    <cfRule type="expression" dxfId="92" priority="151">
      <formula>OR($AT5="Feriedag")</formula>
    </cfRule>
    <cfRule type="expression" dxfId="91" priority="152">
      <formula>OR($AT5="weekend")</formula>
    </cfRule>
    <cfRule type="expression" dxfId="90" priority="153" stopIfTrue="1">
      <formula>OR($AT5="Normal uge 1")</formula>
    </cfRule>
  </conditionalFormatting>
  <conditionalFormatting sqref="AY5:BC35">
    <cfRule type="expression" dxfId="89" priority="18">
      <formula>OR($BA5="Rul 4")</formula>
    </cfRule>
    <cfRule type="expression" dxfId="88" priority="19">
      <formula>OR($BA5="Rul 3")</formula>
    </cfRule>
    <cfRule type="expression" dxfId="87" priority="21">
      <formula>OR($BA5="Rul 2")</formula>
    </cfRule>
    <cfRule type="expression" dxfId="86" priority="22">
      <formula>OR($BA5="Rul 1")</formula>
    </cfRule>
    <cfRule type="expression" dxfId="85" priority="126">
      <formula>OR($BA5="Særlig uge 1")</formula>
    </cfRule>
    <cfRule type="expression" dxfId="84" priority="127">
      <formula>OR($BA5="Særlig uge 4")</formula>
    </cfRule>
    <cfRule type="expression" dxfId="83" priority="128">
      <formula>OR($BA5="Særlig uge 3")</formula>
    </cfRule>
    <cfRule type="expression" dxfId="82" priority="129">
      <formula>OR($BA5="Ikke relevant")</formula>
    </cfRule>
    <cfRule type="expression" dxfId="81" priority="130">
      <formula>OR($BA5="Pæd.dag")</formula>
    </cfRule>
    <cfRule type="expression" dxfId="80" priority="131">
      <formula>OR($BA5="Nul-dag")</formula>
    </cfRule>
    <cfRule type="expression" dxfId="79" priority="132">
      <formula>OR($BA5="SH-dag")</formula>
    </cfRule>
    <cfRule type="expression" dxfId="78" priority="133">
      <formula>OR($BA5="Ekskursion")</formula>
    </cfRule>
    <cfRule type="expression" dxfId="77" priority="134">
      <formula>OR($BA5="Koloni")</formula>
    </cfRule>
    <cfRule type="expression" dxfId="0" priority="135">
      <formula>OR($BA5="Særlig uge 2")</formula>
    </cfRule>
    <cfRule type="expression" dxfId="76" priority="136">
      <formula>OR($BA5="Normal uge 2")</formula>
    </cfRule>
    <cfRule type="expression" dxfId="75" priority="137">
      <formula>OR($BA5="Feriedag")</formula>
    </cfRule>
    <cfRule type="expression" dxfId="74" priority="138">
      <formula>OR($BA5="weekend")</formula>
    </cfRule>
    <cfRule type="expression" dxfId="73" priority="139" stopIfTrue="1">
      <formula>OR($BA5="Normal uge 1")</formula>
    </cfRule>
  </conditionalFormatting>
  <conditionalFormatting sqref="BF5:BJ35">
    <cfRule type="expression" dxfId="72" priority="13">
      <formula>OR($BH5="Rul 4")</formula>
    </cfRule>
    <cfRule type="expression" dxfId="71" priority="14">
      <formula>OR($BH5="Rul 3")</formula>
    </cfRule>
    <cfRule type="expression" dxfId="70" priority="15">
      <formula>OR($BH5="Rul 2")</formula>
    </cfRule>
    <cfRule type="expression" dxfId="69" priority="16">
      <formula>OR($BH5="Rul 1")</formula>
    </cfRule>
    <cfRule type="expression" dxfId="68" priority="112">
      <formula>OR($BH5="Særlig uge 1")</formula>
    </cfRule>
    <cfRule type="expression" dxfId="67" priority="113">
      <formula>OR($BH5="Særlig uge 4")</formula>
    </cfRule>
    <cfRule type="expression" dxfId="66" priority="114">
      <formula>OR($BH5="Særlig uge 3")</formula>
    </cfRule>
    <cfRule type="expression" dxfId="65" priority="115">
      <formula>OR($BH5="Ikke relevant")</formula>
    </cfRule>
    <cfRule type="expression" dxfId="64" priority="116">
      <formula>OR($BH5="Pæd.dag")</formula>
    </cfRule>
    <cfRule type="expression" dxfId="63" priority="117">
      <formula>OR($BH5="Nul-dag")</formula>
    </cfRule>
    <cfRule type="expression" dxfId="62" priority="118">
      <formula>OR($BH5="SH-dag")</formula>
    </cfRule>
    <cfRule type="expression" dxfId="61" priority="119">
      <formula>OR($BH5="Ekskursion")</formula>
    </cfRule>
    <cfRule type="expression" dxfId="60" priority="120">
      <formula>OR($BH5="Koloni")</formula>
    </cfRule>
    <cfRule type="expression" dxfId="59" priority="121">
      <formula>OR($BH5="Normal uge 2")</formula>
    </cfRule>
    <cfRule type="expression" dxfId="58" priority="122">
      <formula>OR($BH5="Særlig uge 2")</formula>
    </cfRule>
    <cfRule type="expression" dxfId="57" priority="123">
      <formula>OR($BH5="Feriedag")</formula>
    </cfRule>
    <cfRule type="expression" dxfId="56" priority="124">
      <formula>OR($BH5="weekend")</formula>
    </cfRule>
    <cfRule type="expression" dxfId="55" priority="125" stopIfTrue="1">
      <formula>OR($BH5="Normal uge 1")</formula>
    </cfRule>
  </conditionalFormatting>
  <conditionalFormatting sqref="BM5:BQ35">
    <cfRule type="expression" dxfId="54" priority="9">
      <formula>OR($BO5="Rul 4")</formula>
    </cfRule>
    <cfRule type="expression" dxfId="53" priority="10">
      <formula>OR($BO5="Rul 3")</formula>
    </cfRule>
    <cfRule type="expression" dxfId="52" priority="11">
      <formula>OR($BO5="Rul 2")</formula>
    </cfRule>
    <cfRule type="expression" dxfId="51" priority="12">
      <formula>OR($BO5="Rul 1")</formula>
    </cfRule>
    <cfRule type="expression" dxfId="50" priority="98">
      <formula>OR($BO5="Særlig uge 1")</formula>
    </cfRule>
    <cfRule type="expression" dxfId="49" priority="99">
      <formula>OR($BO5="Særlig uge 4")</formula>
    </cfRule>
    <cfRule type="expression" dxfId="48" priority="100">
      <formula>OR($BO5="Særlig uge 3")</formula>
    </cfRule>
    <cfRule type="expression" dxfId="47" priority="101">
      <formula>OR($BO5="Ikke relevant")</formula>
    </cfRule>
    <cfRule type="expression" dxfId="46" priority="102">
      <formula>OR($BO5="Pæd.dag")</formula>
    </cfRule>
    <cfRule type="expression" dxfId="45" priority="103">
      <formula>OR($BO5="Nul-dag")</formula>
    </cfRule>
    <cfRule type="expression" dxfId="44" priority="104">
      <formula>OR($BO5="SH-dag")</formula>
    </cfRule>
    <cfRule type="expression" dxfId="43" priority="105">
      <formula>OR($BO5="Ekskursion")</formula>
    </cfRule>
    <cfRule type="expression" dxfId="42" priority="106">
      <formula>OR($BO5="Koloni")</formula>
    </cfRule>
    <cfRule type="expression" dxfId="41" priority="107">
      <formula>OR($BO5="Normal uge 2")</formula>
    </cfRule>
    <cfRule type="expression" dxfId="40" priority="108">
      <formula>OR($BO5="Særlig uge 2")</formula>
    </cfRule>
    <cfRule type="expression" dxfId="39" priority="109">
      <formula>OR($BO5="Feriedag")</formula>
    </cfRule>
    <cfRule type="expression" dxfId="38" priority="110">
      <formula>OR($BO5="weekend")</formula>
    </cfRule>
    <cfRule type="expression" dxfId="37" priority="111" stopIfTrue="1">
      <formula>OR($BO5="Normal uge 1")</formula>
    </cfRule>
  </conditionalFormatting>
  <conditionalFormatting sqref="BT5:BX35">
    <cfRule type="expression" dxfId="36" priority="5">
      <formula>OR($BV5="Rul 4")</formula>
    </cfRule>
    <cfRule type="expression" dxfId="35" priority="6">
      <formula>OR($BV5="Rul 3")</formula>
    </cfRule>
    <cfRule type="expression" dxfId="34" priority="7">
      <formula>OR($BV5="Rul 2")</formula>
    </cfRule>
    <cfRule type="expression" dxfId="33" priority="8">
      <formula>OR($BV5="Rul 1")</formula>
    </cfRule>
    <cfRule type="expression" dxfId="32" priority="84">
      <formula>OR($BV5="Særlig uge 1")</formula>
    </cfRule>
    <cfRule type="expression" dxfId="31" priority="85">
      <formula>OR($BV5="Særlig uge 4")</formula>
    </cfRule>
    <cfRule type="expression" dxfId="30" priority="86">
      <formula>OR($BV5="Særlig uge 3")</formula>
    </cfRule>
    <cfRule type="expression" dxfId="29" priority="87">
      <formula>OR($BV5="Ikke relevant")</formula>
    </cfRule>
    <cfRule type="expression" dxfId="28" priority="88">
      <formula>OR($BV5="Pæd.dag")</formula>
    </cfRule>
    <cfRule type="expression" dxfId="27" priority="89">
      <formula>OR($BV5="Nul-dag")</formula>
    </cfRule>
    <cfRule type="expression" dxfId="26" priority="90">
      <formula>OR($BV5="SH-dag")</formula>
    </cfRule>
    <cfRule type="expression" dxfId="25" priority="91">
      <formula>OR($BV5="Ekskursion")</formula>
    </cfRule>
    <cfRule type="expression" dxfId="24" priority="92">
      <formula>OR($BV5="Koloni")</formula>
    </cfRule>
    <cfRule type="expression" dxfId="23" priority="93">
      <formula>OR($BV5="Normal uge 2")</formula>
    </cfRule>
    <cfRule type="expression" dxfId="22" priority="94">
      <formula>OR($BV5="Særlig uge 2")</formula>
    </cfRule>
    <cfRule type="expression" dxfId="21" priority="95">
      <formula>OR($BV5="Feriedag")</formula>
    </cfRule>
    <cfRule type="expression" dxfId="20" priority="96">
      <formula>OR($BV5="weekend")</formula>
    </cfRule>
    <cfRule type="expression" dxfId="19" priority="97" stopIfTrue="1">
      <formula>OR($BV5="Normal uge 1")</formula>
    </cfRule>
  </conditionalFormatting>
  <conditionalFormatting sqref="CA5:CE35">
    <cfRule type="expression" dxfId="18" priority="1">
      <formula>OR($CC5="Rul 4")</formula>
    </cfRule>
    <cfRule type="expression" dxfId="17" priority="2">
      <formula>OR($CC5="Rul 3")</formula>
    </cfRule>
    <cfRule type="expression" dxfId="16" priority="3">
      <formula>OR($CC5="Rul 2")</formula>
    </cfRule>
    <cfRule type="expression" dxfId="15" priority="4">
      <formula>OR($CC5="Rul 1")</formula>
    </cfRule>
    <cfRule type="expression" dxfId="14" priority="70">
      <formula>OR($CC5="Særlig uge 1")</formula>
    </cfRule>
    <cfRule type="expression" dxfId="13" priority="71">
      <formula>OR($CC5="Særlig uge 4")</formula>
    </cfRule>
    <cfRule type="expression" dxfId="12" priority="72">
      <formula>OR($CC5="Særlig uge 3")</formula>
    </cfRule>
    <cfRule type="expression" dxfId="11" priority="73">
      <formula>OR($CC5="Ikke relevant")</formula>
    </cfRule>
    <cfRule type="expression" dxfId="10" priority="74">
      <formula>OR($CC5="Pæd.dag")</formula>
    </cfRule>
    <cfRule type="expression" dxfId="9" priority="75">
      <formula>OR($CC5="Nul-dag")</formula>
    </cfRule>
    <cfRule type="expression" dxfId="8" priority="76">
      <formula>OR($CC5="SH-dag")</formula>
    </cfRule>
    <cfRule type="expression" dxfId="7" priority="77">
      <formula>OR($CC5="Ekskursion")</formula>
    </cfRule>
    <cfRule type="expression" dxfId="6" priority="78">
      <formula>OR($CC5="Koloni")</formula>
    </cfRule>
    <cfRule type="expression" dxfId="5" priority="79">
      <formula>OR($CC5="Normal uge 2")</formula>
    </cfRule>
    <cfRule type="expression" dxfId="4" priority="80">
      <formula>OR($CC5="Særlig uge 2")</formula>
    </cfRule>
    <cfRule type="expression" dxfId="3" priority="81">
      <formula>OR($CC5="Feriedag")</formula>
    </cfRule>
    <cfRule type="expression" dxfId="2" priority="82">
      <formula>OR($CC5="weekend")</formula>
    </cfRule>
    <cfRule type="expression" dxfId="1" priority="83" stopIfTrue="1">
      <formula>OR($CC5="Normal uge 1")</formula>
    </cfRule>
  </conditionalFormatting>
  <dataValidations count="1">
    <dataValidation type="list" allowBlank="1" showInputMessage="1" sqref="BO5:BO35 D5:D35 AF5:AF35 BA5:BA35 CC5:CC35 BH5:BH35 R5:R35 Y5:Y35 K5:K35 AM5:AM35 AT5:AT35 BV5:BV35" xr:uid="{00000000-0002-0000-0100-000000000000}">
      <formula1>$A$46:$A$63</formula1>
    </dataValidation>
  </dataValidations>
  <printOptions horizontalCentered="1" verticalCentered="1"/>
  <pageMargins left="0" right="0" top="0" bottom="0" header="0" footer="0"/>
  <pageSetup scale="84" orientation="portrait" horizontalDpi="4294967292" verticalDpi="4294967292"/>
  <colBreaks count="12" manualBreakCount="12">
    <brk id="8" max="1048575" man="1"/>
    <brk id="15" max="1048575" man="1"/>
    <brk id="22" max="1048575" man="1"/>
    <brk id="29" max="1048575" man="1"/>
    <brk id="36" max="1048575" man="1"/>
    <brk id="43" max="1048575" man="1"/>
    <brk id="50" max="1048575" man="1"/>
    <brk id="57" max="1048575" man="1"/>
    <brk id="64" max="1048575" man="1"/>
    <brk id="71" max="1048575" man="1"/>
    <brk id="78" max="1048575" man="1"/>
    <brk id="8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45"/>
  <sheetViews>
    <sheetView showGridLines="0" showZeros="0" topLeftCell="A2" workbookViewId="0">
      <selection activeCell="G39" sqref="G39"/>
    </sheetView>
  </sheetViews>
  <sheetFormatPr baseColWidth="10" defaultRowHeight="12"/>
  <cols>
    <col min="1" max="1" width="2.5703125" style="184" customWidth="1"/>
    <col min="2" max="2" width="2.85546875" style="184" customWidth="1"/>
    <col min="3" max="3" width="10.42578125" style="184" customWidth="1"/>
    <col min="4" max="4" width="2.7109375" style="184" customWidth="1"/>
    <col min="5" max="5" width="2.5703125" style="184" customWidth="1"/>
    <col min="6" max="6" width="2.85546875" style="184" customWidth="1"/>
    <col min="7" max="7" width="10.42578125" style="184" customWidth="1"/>
    <col min="8" max="8" width="2.7109375" style="229" customWidth="1"/>
    <col min="9" max="9" width="2.5703125" style="184" customWidth="1"/>
    <col min="10" max="10" width="2.85546875" style="184" customWidth="1"/>
    <col min="11" max="11" width="10.42578125" style="184" customWidth="1"/>
    <col min="12" max="12" width="2.140625" style="295" customWidth="1"/>
    <col min="13" max="13" width="2.5703125" style="184" customWidth="1"/>
    <col min="14" max="14" width="2.85546875" style="184" customWidth="1"/>
    <col min="15" max="15" width="10.42578125" style="184" customWidth="1"/>
    <col min="16" max="16" width="2.140625" style="229" customWidth="1"/>
    <col min="17" max="17" width="2.5703125" style="184" customWidth="1"/>
    <col min="18" max="18" width="2.85546875" style="184" customWidth="1"/>
    <col min="19" max="19" width="10.42578125" style="184" customWidth="1"/>
    <col min="20" max="20" width="2.140625" style="229" customWidth="1"/>
    <col min="21" max="21" width="2.5703125" style="184" customWidth="1"/>
    <col min="22" max="22" width="2.85546875" style="184" customWidth="1"/>
    <col min="23" max="23" width="10.42578125" style="184" customWidth="1"/>
    <col min="24" max="24" width="2.140625" style="184" customWidth="1"/>
    <col min="25" max="25" width="2.5703125" style="184" customWidth="1"/>
    <col min="26" max="26" width="2.85546875" style="184" customWidth="1"/>
    <col min="27" max="27" width="10.42578125" style="184" customWidth="1"/>
    <col min="28" max="28" width="2.140625" style="184" customWidth="1"/>
    <col min="29" max="29" width="2.5703125" style="184" customWidth="1"/>
    <col min="30" max="30" width="2.85546875" style="184" customWidth="1"/>
    <col min="31" max="31" width="10.42578125" style="184" customWidth="1"/>
    <col min="32" max="32" width="2.140625" style="229" customWidth="1"/>
    <col min="33" max="33" width="2.5703125" style="184" customWidth="1"/>
    <col min="34" max="34" width="2.85546875" style="184" customWidth="1"/>
    <col min="35" max="35" width="10.42578125" style="184" customWidth="1"/>
    <col min="36" max="36" width="2.140625" style="229" customWidth="1"/>
    <col min="37" max="37" width="2.5703125" style="184" customWidth="1"/>
    <col min="38" max="38" width="2.85546875" style="184" customWidth="1"/>
    <col min="39" max="39" width="10.42578125" style="184" customWidth="1"/>
    <col min="40" max="40" width="2.140625" style="229" customWidth="1"/>
    <col min="41" max="41" width="2.5703125" style="184" customWidth="1"/>
    <col min="42" max="42" width="2.85546875" style="184" customWidth="1"/>
    <col min="43" max="43" width="10.42578125" style="184" customWidth="1"/>
    <col min="44" max="44" width="2.140625" style="229" customWidth="1"/>
    <col min="45" max="45" width="2.5703125" style="184" customWidth="1"/>
    <col min="46" max="46" width="2.85546875" style="184" customWidth="1"/>
    <col min="47" max="47" width="10.42578125" style="184" customWidth="1"/>
    <col min="48" max="48" width="2.140625" style="229" customWidth="1"/>
    <col min="49" max="16384" width="10.7109375" style="184"/>
  </cols>
  <sheetData>
    <row r="1" spans="1:48" ht="30" customHeight="1">
      <c r="A1" s="303" t="str">
        <f>"ÅRSKALENDER  for  "&amp;UPPER(Maaned!A1)&amp;"  "&amp;Maaned!A3&amp;" - "&amp;TEXT(Maaned!A3-1999,"00")</f>
        <v>ÅRSKALENDER  for    2022 - 23</v>
      </c>
      <c r="B1" s="304"/>
      <c r="C1" s="305"/>
      <c r="D1" s="306"/>
      <c r="E1" s="318"/>
      <c r="F1" s="304"/>
      <c r="G1" s="305"/>
      <c r="H1" s="319"/>
      <c r="I1" s="318"/>
      <c r="J1" s="304"/>
      <c r="K1" s="305"/>
      <c r="L1" s="327"/>
      <c r="M1" s="318"/>
      <c r="N1" s="304"/>
      <c r="O1" s="305"/>
      <c r="P1" s="319"/>
      <c r="Q1" s="318"/>
      <c r="R1" s="304"/>
      <c r="S1" s="305"/>
      <c r="T1" s="319"/>
      <c r="U1" s="318"/>
      <c r="V1" s="304"/>
      <c r="W1" s="305"/>
      <c r="X1" s="306"/>
      <c r="Y1" s="318"/>
      <c r="Z1" s="304"/>
      <c r="AA1" s="305"/>
      <c r="AB1" s="306"/>
      <c r="AC1" s="318"/>
      <c r="AD1" s="304"/>
      <c r="AE1" s="305"/>
      <c r="AF1" s="319"/>
      <c r="AG1" s="318"/>
      <c r="AH1" s="304"/>
      <c r="AI1" s="305"/>
      <c r="AJ1" s="319"/>
      <c r="AK1" s="318"/>
      <c r="AL1" s="304"/>
      <c r="AM1" s="305"/>
      <c r="AN1" s="319"/>
      <c r="AO1" s="318"/>
      <c r="AP1" s="304"/>
      <c r="AQ1" s="305"/>
      <c r="AR1" s="319"/>
      <c r="AS1" s="318"/>
      <c r="AT1" s="304"/>
      <c r="AU1" s="305"/>
      <c r="AV1" s="333"/>
    </row>
    <row r="2" spans="1:48" ht="24" customHeight="1">
      <c r="A2" s="307" t="str">
        <f>Maaned!B4</f>
        <v>AUGUST</v>
      </c>
      <c r="B2" s="308"/>
      <c r="C2" s="309"/>
      <c r="D2" s="310"/>
      <c r="E2" s="307" t="str">
        <f>Maaned!I4</f>
        <v>SEPTEMBER</v>
      </c>
      <c r="F2" s="308"/>
      <c r="G2" s="309"/>
      <c r="H2" s="324"/>
      <c r="I2" s="328" t="str">
        <f>Maaned!P4</f>
        <v>OKTOBER</v>
      </c>
      <c r="J2" s="308"/>
      <c r="K2" s="309"/>
      <c r="L2" s="329"/>
      <c r="M2" s="307" t="str">
        <f>Maaned!W4</f>
        <v>NOVEMBER</v>
      </c>
      <c r="N2" s="308"/>
      <c r="O2" s="309"/>
      <c r="P2" s="324"/>
      <c r="Q2" s="307" t="str">
        <f>Maaned!AD4</f>
        <v>DECEMBER</v>
      </c>
      <c r="R2" s="308"/>
      <c r="S2" s="309"/>
      <c r="T2" s="320"/>
      <c r="U2" s="307" t="str">
        <f>Maaned!AK4</f>
        <v>JANUAR</v>
      </c>
      <c r="V2" s="308"/>
      <c r="W2" s="309"/>
      <c r="X2" s="310"/>
      <c r="Y2" s="328" t="str">
        <f>Maaned!AR4</f>
        <v>FEBRUAR</v>
      </c>
      <c r="Z2" s="308"/>
      <c r="AA2" s="309"/>
      <c r="AB2" s="332"/>
      <c r="AC2" s="307" t="str">
        <f>Maaned!AY4</f>
        <v>MARTS</v>
      </c>
      <c r="AD2" s="308"/>
      <c r="AE2" s="309"/>
      <c r="AF2" s="320"/>
      <c r="AG2" s="307" t="str">
        <f>Maaned!BF4</f>
        <v>APRIL</v>
      </c>
      <c r="AH2" s="308"/>
      <c r="AI2" s="309"/>
      <c r="AJ2" s="324"/>
      <c r="AK2" s="307" t="str">
        <f>Maaned!BM4</f>
        <v>MAJ</v>
      </c>
      <c r="AL2" s="308"/>
      <c r="AM2" s="309"/>
      <c r="AN2" s="320"/>
      <c r="AO2" s="307" t="str">
        <f>Maaned!BT4</f>
        <v>JUNI</v>
      </c>
      <c r="AP2" s="308"/>
      <c r="AQ2" s="309"/>
      <c r="AR2" s="324"/>
      <c r="AS2" s="307" t="str">
        <f>Maaned!CA4</f>
        <v>JULI</v>
      </c>
      <c r="AT2" s="308"/>
      <c r="AU2" s="309"/>
      <c r="AV2" s="320"/>
    </row>
    <row r="3" spans="1:48" ht="24" customHeight="1">
      <c r="A3" s="311">
        <f>Maaned!B5</f>
        <v>1</v>
      </c>
      <c r="B3" s="301" t="str">
        <f>Maaned!C5</f>
        <v>ma</v>
      </c>
      <c r="C3" s="302" t="str">
        <f>Maaned!D5</f>
        <v>Normal uge 1</v>
      </c>
      <c r="D3" s="312">
        <f>Maaned!E5</f>
        <v>31.285714285714285</v>
      </c>
      <c r="E3" s="311">
        <f>Maaned!I5</f>
        <v>1</v>
      </c>
      <c r="F3" s="301" t="str">
        <f>Maaned!J5</f>
        <v>to</v>
      </c>
      <c r="G3" s="302" t="str">
        <f>Maaned!K5</f>
        <v>Normal uge 1</v>
      </c>
      <c r="H3" s="323" t="str">
        <f>Maaned!L5</f>
        <v/>
      </c>
      <c r="I3" s="311">
        <f>Maaned!P5</f>
        <v>1</v>
      </c>
      <c r="J3" s="301" t="str">
        <f>Maaned!Q5</f>
        <v>lø</v>
      </c>
      <c r="K3" s="505" t="str">
        <f>Maaned!R5</f>
        <v>Weekend</v>
      </c>
      <c r="L3" s="330" t="str">
        <f>Maaned!S5</f>
        <v/>
      </c>
      <c r="M3" s="311">
        <f>Maaned!W5</f>
        <v>1</v>
      </c>
      <c r="N3" s="301" t="str">
        <f>Maaned!X5</f>
        <v>ti</v>
      </c>
      <c r="O3" s="505" t="str">
        <f>Maaned!Y5</f>
        <v>Normal uge 1</v>
      </c>
      <c r="P3" s="323" t="str">
        <f>Maaned!Z5</f>
        <v/>
      </c>
      <c r="Q3" s="311">
        <f>Maaned!AD5</f>
        <v>1</v>
      </c>
      <c r="R3" s="301" t="str">
        <f>Maaned!AE5</f>
        <v>to</v>
      </c>
      <c r="S3" s="505" t="str">
        <f>Maaned!AF5</f>
        <v>Normal uge 1</v>
      </c>
      <c r="T3" s="313" t="str">
        <f>Maaned!AG5</f>
        <v/>
      </c>
      <c r="U3" s="311">
        <f>Maaned!AK5</f>
        <v>1</v>
      </c>
      <c r="V3" s="301" t="str">
        <f>Maaned!AL5</f>
        <v>sø</v>
      </c>
      <c r="W3" s="505" t="str">
        <f>Maaned!AM5</f>
        <v>Weekend</v>
      </c>
      <c r="X3" s="312" t="str">
        <f>Maaned!AN5</f>
        <v/>
      </c>
      <c r="Y3" s="311">
        <f>Maaned!AR5</f>
        <v>1</v>
      </c>
      <c r="Z3" s="301" t="str">
        <f>Maaned!AS5</f>
        <v>on</v>
      </c>
      <c r="AA3" s="505" t="str">
        <f>Maaned!AT5</f>
        <v>Normal uge 1</v>
      </c>
      <c r="AB3" s="322" t="str">
        <f>Maaned!AU5</f>
        <v/>
      </c>
      <c r="AC3" s="311">
        <f>Maaned!AY5</f>
        <v>1</v>
      </c>
      <c r="AD3" s="301" t="str">
        <f>Maaned!AZ5</f>
        <v>on</v>
      </c>
      <c r="AE3" s="505" t="str">
        <f>Maaned!BA5</f>
        <v>Normal uge 1</v>
      </c>
      <c r="AF3" s="313" t="str">
        <f>Maaned!BB5</f>
        <v/>
      </c>
      <c r="AG3" s="311">
        <f>Maaned!BF5</f>
        <v>1</v>
      </c>
      <c r="AH3" s="301" t="str">
        <f>Maaned!BG5</f>
        <v>lø</v>
      </c>
      <c r="AI3" s="505" t="str">
        <f>Maaned!BH5</f>
        <v>Weekend</v>
      </c>
      <c r="AJ3" s="323" t="str">
        <f>Maaned!BI5</f>
        <v/>
      </c>
      <c r="AK3" s="311">
        <f>Maaned!BM5</f>
        <v>1</v>
      </c>
      <c r="AL3" s="301" t="str">
        <f>Maaned!BN5</f>
        <v>ma</v>
      </c>
      <c r="AM3" s="505" t="str">
        <f>Maaned!BO5</f>
        <v>Normal uge 1</v>
      </c>
      <c r="AN3" s="313">
        <f>Maaned!BP5</f>
        <v>18.142857142857142</v>
      </c>
      <c r="AO3" s="311">
        <f>Maaned!BT5</f>
        <v>1</v>
      </c>
      <c r="AP3" s="301" t="str">
        <f>Maaned!BU5</f>
        <v>to</v>
      </c>
      <c r="AQ3" s="505" t="str">
        <f>Maaned!BV5</f>
        <v>Normal uge 1</v>
      </c>
      <c r="AR3" s="323" t="str">
        <f>Maaned!BW5</f>
        <v/>
      </c>
      <c r="AS3" s="311">
        <f>Maaned!CA5</f>
        <v>1</v>
      </c>
      <c r="AT3" s="301" t="str">
        <f>Maaned!CB5</f>
        <v>lø</v>
      </c>
      <c r="AU3" s="505" t="str">
        <f>Maaned!CC5</f>
        <v>Weekend</v>
      </c>
      <c r="AV3" s="313" t="str">
        <f>Maaned!CD5</f>
        <v/>
      </c>
    </row>
    <row r="4" spans="1:48" ht="24" customHeight="1">
      <c r="A4" s="311">
        <f>Maaned!B6</f>
        <v>2</v>
      </c>
      <c r="B4" s="301" t="str">
        <f>Maaned!C6</f>
        <v>ti</v>
      </c>
      <c r="C4" s="302" t="str">
        <f>Maaned!D6</f>
        <v>Normal uge 1</v>
      </c>
      <c r="D4" s="312" t="str">
        <f>Maaned!E6</f>
        <v/>
      </c>
      <c r="E4" s="311">
        <f>Maaned!I6</f>
        <v>2</v>
      </c>
      <c r="F4" s="301" t="str">
        <f>Maaned!J6</f>
        <v>fr</v>
      </c>
      <c r="G4" s="302" t="str">
        <f>Maaned!K6</f>
        <v>Normal uge 1</v>
      </c>
      <c r="H4" s="323" t="str">
        <f>Maaned!L6</f>
        <v/>
      </c>
      <c r="I4" s="311">
        <f>Maaned!P6</f>
        <v>2</v>
      </c>
      <c r="J4" s="301" t="str">
        <f>Maaned!Q6</f>
        <v>sø</v>
      </c>
      <c r="K4" s="505" t="str">
        <f>Maaned!R6</f>
        <v>Weekend</v>
      </c>
      <c r="L4" s="330" t="str">
        <f>Maaned!S6</f>
        <v/>
      </c>
      <c r="M4" s="311">
        <f>Maaned!W6</f>
        <v>2</v>
      </c>
      <c r="N4" s="301" t="str">
        <f>Maaned!X6</f>
        <v>on</v>
      </c>
      <c r="O4" s="505" t="str">
        <f>Maaned!Y6</f>
        <v>Normal uge 1</v>
      </c>
      <c r="P4" s="323" t="str">
        <f>Maaned!Z6</f>
        <v/>
      </c>
      <c r="Q4" s="311">
        <f>Maaned!AD6</f>
        <v>2</v>
      </c>
      <c r="R4" s="301" t="str">
        <f>Maaned!AE6</f>
        <v>fr</v>
      </c>
      <c r="S4" s="505" t="str">
        <f>Maaned!AF6</f>
        <v>Normal uge 1</v>
      </c>
      <c r="T4" s="313" t="str">
        <f>Maaned!AG6</f>
        <v/>
      </c>
      <c r="U4" s="311">
        <f>Maaned!AK6</f>
        <v>2</v>
      </c>
      <c r="V4" s="301" t="str">
        <f>Maaned!AL6</f>
        <v>ma</v>
      </c>
      <c r="W4" s="505" t="str">
        <f>Maaned!AM6</f>
        <v>Normal uge 1</v>
      </c>
      <c r="X4" s="312">
        <f>Maaned!AN6</f>
        <v>1.1428571428571428</v>
      </c>
      <c r="Y4" s="311">
        <f>Maaned!AR6</f>
        <v>2</v>
      </c>
      <c r="Z4" s="301" t="str">
        <f>Maaned!AS6</f>
        <v>to</v>
      </c>
      <c r="AA4" s="505" t="str">
        <f>Maaned!AT6</f>
        <v>Normal uge 1</v>
      </c>
      <c r="AB4" s="322" t="str">
        <f>Maaned!AU6</f>
        <v/>
      </c>
      <c r="AC4" s="311">
        <f>Maaned!AY6</f>
        <v>2</v>
      </c>
      <c r="AD4" s="301" t="str">
        <f>Maaned!AZ6</f>
        <v>to</v>
      </c>
      <c r="AE4" s="505" t="str">
        <f>Maaned!BA6</f>
        <v>Normal uge 1</v>
      </c>
      <c r="AF4" s="313" t="str">
        <f>Maaned!BB6</f>
        <v/>
      </c>
      <c r="AG4" s="311">
        <f>Maaned!BF6</f>
        <v>2</v>
      </c>
      <c r="AH4" s="301" t="str">
        <f>Maaned!BG6</f>
        <v>sø</v>
      </c>
      <c r="AI4" s="505" t="str">
        <f>Maaned!BH6</f>
        <v>Weekend</v>
      </c>
      <c r="AJ4" s="323" t="str">
        <f>Maaned!BI6</f>
        <v/>
      </c>
      <c r="AK4" s="311">
        <f>Maaned!BM6</f>
        <v>2</v>
      </c>
      <c r="AL4" s="301" t="str">
        <f>Maaned!BN6</f>
        <v>ti</v>
      </c>
      <c r="AM4" s="505" t="str">
        <f>Maaned!BO6</f>
        <v>Normal uge 1</v>
      </c>
      <c r="AN4" s="313" t="str">
        <f>Maaned!BP6</f>
        <v/>
      </c>
      <c r="AO4" s="311">
        <f>Maaned!BT6</f>
        <v>2</v>
      </c>
      <c r="AP4" s="301" t="str">
        <f>Maaned!BU6</f>
        <v>fr</v>
      </c>
      <c r="AQ4" s="505" t="str">
        <f>Maaned!BV6</f>
        <v>Normal uge 1</v>
      </c>
      <c r="AR4" s="323" t="str">
        <f>Maaned!BW6</f>
        <v/>
      </c>
      <c r="AS4" s="311">
        <f>Maaned!CA6</f>
        <v>2</v>
      </c>
      <c r="AT4" s="301" t="str">
        <f>Maaned!CB6</f>
        <v>sø</v>
      </c>
      <c r="AU4" s="505" t="str">
        <f>Maaned!CC6</f>
        <v>Weekend</v>
      </c>
      <c r="AV4" s="313" t="str">
        <f>Maaned!CD6</f>
        <v/>
      </c>
    </row>
    <row r="5" spans="1:48" ht="24" customHeight="1">
      <c r="A5" s="311">
        <f>Maaned!B7</f>
        <v>3</v>
      </c>
      <c r="B5" s="301" t="str">
        <f>Maaned!C7</f>
        <v>on</v>
      </c>
      <c r="C5" s="302" t="str">
        <f>Maaned!D7</f>
        <v>Normal uge 1</v>
      </c>
      <c r="D5" s="312" t="str">
        <f>Maaned!E7</f>
        <v/>
      </c>
      <c r="E5" s="311">
        <f>Maaned!I7</f>
        <v>3</v>
      </c>
      <c r="F5" s="301" t="str">
        <f>Maaned!J7</f>
        <v>lø</v>
      </c>
      <c r="G5" s="505" t="str">
        <f>Maaned!K7</f>
        <v>Weekend</v>
      </c>
      <c r="H5" s="325" t="str">
        <f>Maaned!L7</f>
        <v/>
      </c>
      <c r="I5" s="311">
        <f>Maaned!P7</f>
        <v>3</v>
      </c>
      <c r="J5" s="301" t="str">
        <f>Maaned!Q7</f>
        <v>ma</v>
      </c>
      <c r="K5" s="505" t="str">
        <f>Maaned!R7</f>
        <v>Normal uge 1</v>
      </c>
      <c r="L5" s="330">
        <f>Maaned!S7</f>
        <v>40.285714285714285</v>
      </c>
      <c r="M5" s="311">
        <f>Maaned!W7</f>
        <v>3</v>
      </c>
      <c r="N5" s="301" t="str">
        <f>Maaned!X7</f>
        <v>to</v>
      </c>
      <c r="O5" s="505" t="str">
        <f>Maaned!Y7</f>
        <v>Normal uge 1</v>
      </c>
      <c r="P5" s="323" t="str">
        <f>Maaned!Z7</f>
        <v/>
      </c>
      <c r="Q5" s="311">
        <f>Maaned!AD7</f>
        <v>3</v>
      </c>
      <c r="R5" s="301" t="str">
        <f>Maaned!AE7</f>
        <v>lø</v>
      </c>
      <c r="S5" s="505" t="str">
        <f>Maaned!AF7</f>
        <v>Weekend</v>
      </c>
      <c r="T5" s="313" t="str">
        <f>Maaned!AG7</f>
        <v/>
      </c>
      <c r="U5" s="311">
        <f>Maaned!AK7</f>
        <v>3</v>
      </c>
      <c r="V5" s="301" t="str">
        <f>Maaned!AL7</f>
        <v>ti</v>
      </c>
      <c r="W5" s="505" t="str">
        <f>Maaned!AM7</f>
        <v>Normal uge 1</v>
      </c>
      <c r="X5" s="312" t="str">
        <f>Maaned!AN7</f>
        <v/>
      </c>
      <c r="Y5" s="311">
        <f>Maaned!AR7</f>
        <v>3</v>
      </c>
      <c r="Z5" s="301" t="str">
        <f>Maaned!AS7</f>
        <v>fr</v>
      </c>
      <c r="AA5" s="505" t="str">
        <f>Maaned!AT7</f>
        <v>Normal uge 1</v>
      </c>
      <c r="AB5" s="322" t="str">
        <f>Maaned!AU7</f>
        <v/>
      </c>
      <c r="AC5" s="311">
        <f>Maaned!AY7</f>
        <v>3</v>
      </c>
      <c r="AD5" s="301" t="str">
        <f>Maaned!AZ7</f>
        <v>fr</v>
      </c>
      <c r="AE5" s="505" t="str">
        <f>Maaned!BA7</f>
        <v>Normal uge 1</v>
      </c>
      <c r="AF5" s="313" t="str">
        <f>Maaned!BB7</f>
        <v/>
      </c>
      <c r="AG5" s="311">
        <f>Maaned!BF7</f>
        <v>3</v>
      </c>
      <c r="AH5" s="301" t="str">
        <f>Maaned!BG7</f>
        <v>ma</v>
      </c>
      <c r="AI5" s="505" t="str">
        <f>Maaned!BH7</f>
        <v>Normal uge 1</v>
      </c>
      <c r="AJ5" s="323">
        <f>Maaned!BI7</f>
        <v>14.142857142857142</v>
      </c>
      <c r="AK5" s="311">
        <f>Maaned!BM7</f>
        <v>3</v>
      </c>
      <c r="AL5" s="301" t="str">
        <f>Maaned!BN7</f>
        <v>on</v>
      </c>
      <c r="AM5" s="505" t="str">
        <f>Maaned!BO7</f>
        <v>Normal uge 1</v>
      </c>
      <c r="AN5" s="313" t="str">
        <f>Maaned!BP7</f>
        <v/>
      </c>
      <c r="AO5" s="311">
        <f>Maaned!BT7</f>
        <v>3</v>
      </c>
      <c r="AP5" s="301" t="str">
        <f>Maaned!BU7</f>
        <v>lø</v>
      </c>
      <c r="AQ5" s="505" t="str">
        <f>Maaned!BV7</f>
        <v>Weekend</v>
      </c>
      <c r="AR5" s="323" t="str">
        <f>Maaned!BW7</f>
        <v/>
      </c>
      <c r="AS5" s="311">
        <f>Maaned!CA7</f>
        <v>3</v>
      </c>
      <c r="AT5" s="301" t="str">
        <f>Maaned!CB7</f>
        <v>ma</v>
      </c>
      <c r="AU5" s="505" t="str">
        <f>Maaned!CC7</f>
        <v>Normal uge 1</v>
      </c>
      <c r="AV5" s="313">
        <f>Maaned!CD7</f>
        <v>27.142857142857142</v>
      </c>
    </row>
    <row r="6" spans="1:48" ht="24" customHeight="1">
      <c r="A6" s="311">
        <f>Maaned!B8</f>
        <v>4</v>
      </c>
      <c r="B6" s="301" t="str">
        <f>Maaned!C8</f>
        <v>to</v>
      </c>
      <c r="C6" s="302" t="str">
        <f>Maaned!D8</f>
        <v>Normal uge 1</v>
      </c>
      <c r="D6" s="312" t="str">
        <f>Maaned!E8</f>
        <v/>
      </c>
      <c r="E6" s="311">
        <f>Maaned!I8</f>
        <v>4</v>
      </c>
      <c r="F6" s="301" t="str">
        <f>Maaned!J8</f>
        <v>sø</v>
      </c>
      <c r="G6" s="505" t="str">
        <f>Maaned!K8</f>
        <v>Weekend</v>
      </c>
      <c r="H6" s="323" t="str">
        <f>Maaned!L8</f>
        <v/>
      </c>
      <c r="I6" s="311">
        <f>Maaned!P8</f>
        <v>4</v>
      </c>
      <c r="J6" s="301" t="str">
        <f>Maaned!Q8</f>
        <v>ti</v>
      </c>
      <c r="K6" s="505" t="str">
        <f>Maaned!R8</f>
        <v>Normal uge 1</v>
      </c>
      <c r="L6" s="330" t="str">
        <f>Maaned!S8</f>
        <v/>
      </c>
      <c r="M6" s="311">
        <f>Maaned!W8</f>
        <v>4</v>
      </c>
      <c r="N6" s="301" t="str">
        <f>Maaned!X8</f>
        <v>fr</v>
      </c>
      <c r="O6" s="505" t="str">
        <f>Maaned!Y8</f>
        <v>Normal uge 1</v>
      </c>
      <c r="P6" s="323" t="str">
        <f>Maaned!Z8</f>
        <v/>
      </c>
      <c r="Q6" s="311">
        <f>Maaned!AD8</f>
        <v>4</v>
      </c>
      <c r="R6" s="301" t="str">
        <f>Maaned!AE8</f>
        <v>sø</v>
      </c>
      <c r="S6" s="505" t="str">
        <f>Maaned!AF8</f>
        <v>Weekend</v>
      </c>
      <c r="T6" s="313" t="str">
        <f>Maaned!AG8</f>
        <v/>
      </c>
      <c r="U6" s="311">
        <f>Maaned!AK8</f>
        <v>4</v>
      </c>
      <c r="V6" s="301" t="str">
        <f>Maaned!AL8</f>
        <v>on</v>
      </c>
      <c r="W6" s="505" t="str">
        <f>Maaned!AM8</f>
        <v>Normal uge 1</v>
      </c>
      <c r="X6" s="312" t="str">
        <f>Maaned!AN8</f>
        <v/>
      </c>
      <c r="Y6" s="311">
        <f>Maaned!AR8</f>
        <v>4</v>
      </c>
      <c r="Z6" s="301" t="str">
        <f>Maaned!AS8</f>
        <v>lø</v>
      </c>
      <c r="AA6" s="505" t="str">
        <f>Maaned!AT8</f>
        <v>Weekend</v>
      </c>
      <c r="AB6" s="322" t="str">
        <f>Maaned!AU8</f>
        <v/>
      </c>
      <c r="AC6" s="311">
        <f>Maaned!AY8</f>
        <v>4</v>
      </c>
      <c r="AD6" s="301" t="str">
        <f>Maaned!AZ8</f>
        <v>lø</v>
      </c>
      <c r="AE6" s="505" t="str">
        <f>Maaned!BA8</f>
        <v>Weekend</v>
      </c>
      <c r="AF6" s="313" t="str">
        <f>Maaned!BB8</f>
        <v/>
      </c>
      <c r="AG6" s="311">
        <f>Maaned!BF8</f>
        <v>4</v>
      </c>
      <c r="AH6" s="301" t="str">
        <f>Maaned!BG8</f>
        <v>ti</v>
      </c>
      <c r="AI6" s="505" t="str">
        <f>Maaned!BH8</f>
        <v>Normal uge 1</v>
      </c>
      <c r="AJ6" s="323" t="str">
        <f>Maaned!BI8</f>
        <v/>
      </c>
      <c r="AK6" s="311">
        <f>Maaned!BM8</f>
        <v>4</v>
      </c>
      <c r="AL6" s="301" t="str">
        <f>Maaned!BN8</f>
        <v>to</v>
      </c>
      <c r="AM6" s="505" t="str">
        <f>Maaned!BO8</f>
        <v>Normal uge 1</v>
      </c>
      <c r="AN6" s="313" t="str">
        <f>Maaned!BP8</f>
        <v/>
      </c>
      <c r="AO6" s="311">
        <f>Maaned!BT8</f>
        <v>4</v>
      </c>
      <c r="AP6" s="301" t="str">
        <f>Maaned!BU8</f>
        <v>sø</v>
      </c>
      <c r="AQ6" s="505" t="str">
        <f>Maaned!BV8</f>
        <v>Weekend</v>
      </c>
      <c r="AR6" s="323" t="str">
        <f>Maaned!BW8</f>
        <v/>
      </c>
      <c r="AS6" s="311">
        <f>Maaned!CA8</f>
        <v>4</v>
      </c>
      <c r="AT6" s="301" t="str">
        <f>Maaned!CB8</f>
        <v>ti</v>
      </c>
      <c r="AU6" s="505" t="str">
        <f>Maaned!CC8</f>
        <v>Normal uge 1</v>
      </c>
      <c r="AV6" s="313" t="str">
        <f>Maaned!CD8</f>
        <v/>
      </c>
    </row>
    <row r="7" spans="1:48" ht="24" customHeight="1">
      <c r="A7" s="311">
        <f>Maaned!B9</f>
        <v>5</v>
      </c>
      <c r="B7" s="301" t="str">
        <f>Maaned!C9</f>
        <v>fr</v>
      </c>
      <c r="C7" s="302" t="str">
        <f>Maaned!D9</f>
        <v>Normal uge 1</v>
      </c>
      <c r="D7" s="312" t="str">
        <f>Maaned!E9</f>
        <v/>
      </c>
      <c r="E7" s="311">
        <f>Maaned!I9</f>
        <v>5</v>
      </c>
      <c r="F7" s="301" t="str">
        <f>Maaned!J9</f>
        <v>ma</v>
      </c>
      <c r="G7" s="505" t="str">
        <f>Maaned!K9</f>
        <v>Normal uge 1</v>
      </c>
      <c r="H7" s="323">
        <f>Maaned!L9</f>
        <v>36.285714285714285</v>
      </c>
      <c r="I7" s="311">
        <f>Maaned!P9</f>
        <v>5</v>
      </c>
      <c r="J7" s="301" t="str">
        <f>Maaned!Q9</f>
        <v>on</v>
      </c>
      <c r="K7" s="505" t="str">
        <f>Maaned!R9</f>
        <v>Normal uge 1</v>
      </c>
      <c r="L7" s="330" t="str">
        <f>Maaned!S9</f>
        <v/>
      </c>
      <c r="M7" s="311">
        <f>Maaned!W9</f>
        <v>5</v>
      </c>
      <c r="N7" s="301" t="str">
        <f>Maaned!X9</f>
        <v>lø</v>
      </c>
      <c r="O7" s="505" t="str">
        <f>Maaned!Y9</f>
        <v>Weekend</v>
      </c>
      <c r="P7" s="323" t="str">
        <f>Maaned!Z9</f>
        <v/>
      </c>
      <c r="Q7" s="311">
        <f>Maaned!AD9</f>
        <v>5</v>
      </c>
      <c r="R7" s="301" t="str">
        <f>Maaned!AE9</f>
        <v>ma</v>
      </c>
      <c r="S7" s="505" t="str">
        <f>Maaned!AF9</f>
        <v>Normal uge 1</v>
      </c>
      <c r="T7" s="313">
        <f>Maaned!AG9</f>
        <v>49.285714285714285</v>
      </c>
      <c r="U7" s="311">
        <f>Maaned!AK9</f>
        <v>5</v>
      </c>
      <c r="V7" s="301" t="str">
        <f>Maaned!AL9</f>
        <v>to</v>
      </c>
      <c r="W7" s="505" t="str">
        <f>Maaned!AM9</f>
        <v>Normal uge 1</v>
      </c>
      <c r="X7" s="312" t="str">
        <f>Maaned!AN9</f>
        <v/>
      </c>
      <c r="Y7" s="311">
        <f>Maaned!AR9</f>
        <v>5</v>
      </c>
      <c r="Z7" s="301" t="str">
        <f>Maaned!AS9</f>
        <v>sø</v>
      </c>
      <c r="AA7" s="505" t="str">
        <f>Maaned!AT9</f>
        <v>Weekend</v>
      </c>
      <c r="AB7" s="322" t="str">
        <f>Maaned!AU9</f>
        <v/>
      </c>
      <c r="AC7" s="311">
        <f>Maaned!AY9</f>
        <v>5</v>
      </c>
      <c r="AD7" s="301" t="str">
        <f>Maaned!AZ9</f>
        <v>sø</v>
      </c>
      <c r="AE7" s="505" t="str">
        <f>Maaned!BA9</f>
        <v>Weekend</v>
      </c>
      <c r="AF7" s="313" t="str">
        <f>Maaned!BB9</f>
        <v/>
      </c>
      <c r="AG7" s="311">
        <f>Maaned!BF9</f>
        <v>5</v>
      </c>
      <c r="AH7" s="301" t="str">
        <f>Maaned!BG9</f>
        <v>on</v>
      </c>
      <c r="AI7" s="505" t="str">
        <f>Maaned!BH9</f>
        <v>Normal uge 1</v>
      </c>
      <c r="AJ7" s="323" t="str">
        <f>Maaned!BI9</f>
        <v/>
      </c>
      <c r="AK7" s="311">
        <f>Maaned!BM9</f>
        <v>5</v>
      </c>
      <c r="AL7" s="301" t="str">
        <f>Maaned!BN9</f>
        <v>fr</v>
      </c>
      <c r="AM7" s="505" t="str">
        <f>Maaned!BO9</f>
        <v>SH-dag</v>
      </c>
      <c r="AN7" s="313" t="str">
        <f>Maaned!BP9</f>
        <v/>
      </c>
      <c r="AO7" s="311">
        <f>Maaned!BT9</f>
        <v>5</v>
      </c>
      <c r="AP7" s="301" t="str">
        <f>Maaned!BU9</f>
        <v>ma</v>
      </c>
      <c r="AQ7" s="505" t="str">
        <f>Maaned!BV9</f>
        <v>Normal uge 1</v>
      </c>
      <c r="AR7" s="323">
        <f>Maaned!BW9</f>
        <v>23.142857142857142</v>
      </c>
      <c r="AS7" s="311">
        <f>Maaned!CA9</f>
        <v>5</v>
      </c>
      <c r="AT7" s="301" t="str">
        <f>Maaned!CB9</f>
        <v>on</v>
      </c>
      <c r="AU7" s="505" t="str">
        <f>Maaned!CC9</f>
        <v>Normal uge 1</v>
      </c>
      <c r="AV7" s="313" t="str">
        <f>Maaned!CD9</f>
        <v/>
      </c>
    </row>
    <row r="8" spans="1:48" ht="24" customHeight="1">
      <c r="A8" s="311">
        <f>Maaned!B10</f>
        <v>6</v>
      </c>
      <c r="B8" s="301" t="str">
        <f>Maaned!C10</f>
        <v>lø</v>
      </c>
      <c r="C8" s="302" t="str">
        <f>Maaned!D10</f>
        <v>Weekend</v>
      </c>
      <c r="D8" s="313" t="str">
        <f>Maaned!E10</f>
        <v/>
      </c>
      <c r="E8" s="311">
        <f>Maaned!I10</f>
        <v>6</v>
      </c>
      <c r="F8" s="301" t="str">
        <f>Maaned!J10</f>
        <v>ti</v>
      </c>
      <c r="G8" s="505" t="str">
        <f>Maaned!K10</f>
        <v>Normal uge 1</v>
      </c>
      <c r="H8" s="323" t="str">
        <f>Maaned!L10</f>
        <v/>
      </c>
      <c r="I8" s="311">
        <f>Maaned!P10</f>
        <v>6</v>
      </c>
      <c r="J8" s="301" t="str">
        <f>Maaned!Q10</f>
        <v>to</v>
      </c>
      <c r="K8" s="505" t="str">
        <f>Maaned!R10</f>
        <v>Normal uge 1</v>
      </c>
      <c r="L8" s="330" t="str">
        <f>Maaned!S10</f>
        <v/>
      </c>
      <c r="M8" s="311">
        <f>Maaned!W10</f>
        <v>6</v>
      </c>
      <c r="N8" s="301" t="str">
        <f>Maaned!X10</f>
        <v>sø</v>
      </c>
      <c r="O8" s="505" t="str">
        <f>Maaned!Y10</f>
        <v>Weekend</v>
      </c>
      <c r="P8" s="323" t="str">
        <f>Maaned!Z10</f>
        <v/>
      </c>
      <c r="Q8" s="311">
        <f>Maaned!AD10</f>
        <v>6</v>
      </c>
      <c r="R8" s="301" t="str">
        <f>Maaned!AE10</f>
        <v>ti</v>
      </c>
      <c r="S8" s="505" t="str">
        <f>Maaned!AF10</f>
        <v>Normal uge 1</v>
      </c>
      <c r="T8" s="313" t="str">
        <f>Maaned!AG10</f>
        <v/>
      </c>
      <c r="U8" s="311">
        <f>Maaned!AK10</f>
        <v>6</v>
      </c>
      <c r="V8" s="301" t="str">
        <f>Maaned!AL10</f>
        <v>fr</v>
      </c>
      <c r="W8" s="505" t="str">
        <f>Maaned!AM10</f>
        <v>Normal uge 1</v>
      </c>
      <c r="X8" s="312" t="str">
        <f>Maaned!AN10</f>
        <v/>
      </c>
      <c r="Y8" s="311">
        <f>Maaned!AR10</f>
        <v>6</v>
      </c>
      <c r="Z8" s="301" t="str">
        <f>Maaned!AS10</f>
        <v>ma</v>
      </c>
      <c r="AA8" s="505" t="str">
        <f>Maaned!AT10</f>
        <v>Normal uge 1</v>
      </c>
      <c r="AB8" s="322">
        <f>Maaned!AU10</f>
        <v>6.1428571428571432</v>
      </c>
      <c r="AC8" s="311">
        <f>Maaned!AY10</f>
        <v>6</v>
      </c>
      <c r="AD8" s="301" t="str">
        <f>Maaned!AZ10</f>
        <v>ma</v>
      </c>
      <c r="AE8" s="505" t="str">
        <f>Maaned!BA10</f>
        <v>Normal uge 1</v>
      </c>
      <c r="AF8" s="313">
        <f>Maaned!BB10</f>
        <v>10.142857142857142</v>
      </c>
      <c r="AG8" s="311">
        <f>Maaned!BF10</f>
        <v>6</v>
      </c>
      <c r="AH8" s="301" t="str">
        <f>Maaned!BG10</f>
        <v>to</v>
      </c>
      <c r="AI8" s="505" t="str">
        <f>Maaned!BH10</f>
        <v>SH-dag</v>
      </c>
      <c r="AJ8" s="323" t="str">
        <f>Maaned!BI10</f>
        <v/>
      </c>
      <c r="AK8" s="311">
        <f>Maaned!BM10</f>
        <v>6</v>
      </c>
      <c r="AL8" s="301" t="str">
        <f>Maaned!BN10</f>
        <v>lø</v>
      </c>
      <c r="AM8" s="505" t="str">
        <f>Maaned!BO10</f>
        <v>Weekend</v>
      </c>
      <c r="AN8" s="313" t="str">
        <f>Maaned!BP10</f>
        <v/>
      </c>
      <c r="AO8" s="311">
        <f>Maaned!BT10</f>
        <v>6</v>
      </c>
      <c r="AP8" s="301" t="str">
        <f>Maaned!BU10</f>
        <v>ti</v>
      </c>
      <c r="AQ8" s="505" t="str">
        <f>Maaned!BV10</f>
        <v>Normal uge 1</v>
      </c>
      <c r="AR8" s="323" t="str">
        <f>Maaned!BW10</f>
        <v/>
      </c>
      <c r="AS8" s="311">
        <f>Maaned!CA10</f>
        <v>6</v>
      </c>
      <c r="AT8" s="301" t="str">
        <f>Maaned!CB10</f>
        <v>to</v>
      </c>
      <c r="AU8" s="505" t="str">
        <f>Maaned!CC10</f>
        <v>Normal uge 1</v>
      </c>
      <c r="AV8" s="313" t="str">
        <f>Maaned!CD10</f>
        <v/>
      </c>
    </row>
    <row r="9" spans="1:48" ht="24" customHeight="1">
      <c r="A9" s="311">
        <f>Maaned!B11</f>
        <v>7</v>
      </c>
      <c r="B9" s="301" t="str">
        <f>Maaned!C11</f>
        <v>sø</v>
      </c>
      <c r="C9" s="302" t="str">
        <f>Maaned!D11</f>
        <v>Weekend</v>
      </c>
      <c r="D9" s="313" t="str">
        <f>Maaned!E11</f>
        <v/>
      </c>
      <c r="E9" s="311">
        <f>Maaned!I11</f>
        <v>7</v>
      </c>
      <c r="F9" s="301" t="str">
        <f>Maaned!J11</f>
        <v>on</v>
      </c>
      <c r="G9" s="505" t="str">
        <f>Maaned!K11</f>
        <v>Normal uge 1</v>
      </c>
      <c r="H9" s="323" t="str">
        <f>Maaned!L11</f>
        <v/>
      </c>
      <c r="I9" s="311">
        <f>Maaned!P11</f>
        <v>7</v>
      </c>
      <c r="J9" s="301" t="str">
        <f>Maaned!Q11</f>
        <v>fr</v>
      </c>
      <c r="K9" s="505" t="str">
        <f>Maaned!R11</f>
        <v>Normal uge 1</v>
      </c>
      <c r="L9" s="330" t="str">
        <f>Maaned!S11</f>
        <v/>
      </c>
      <c r="M9" s="311">
        <f>Maaned!W11</f>
        <v>7</v>
      </c>
      <c r="N9" s="301" t="str">
        <f>Maaned!X11</f>
        <v>ma</v>
      </c>
      <c r="O9" s="505" t="str">
        <f>Maaned!Y11</f>
        <v>Normal uge 1</v>
      </c>
      <c r="P9" s="323">
        <f>Maaned!Z11</f>
        <v>45.285714285714285</v>
      </c>
      <c r="Q9" s="311">
        <f>Maaned!AD11</f>
        <v>7</v>
      </c>
      <c r="R9" s="301" t="str">
        <f>Maaned!AE11</f>
        <v>on</v>
      </c>
      <c r="S9" s="505" t="str">
        <f>Maaned!AF11</f>
        <v>Normal uge 1</v>
      </c>
      <c r="T9" s="313" t="str">
        <f>Maaned!AG11</f>
        <v/>
      </c>
      <c r="U9" s="311">
        <f>Maaned!AK11</f>
        <v>7</v>
      </c>
      <c r="V9" s="301" t="str">
        <f>Maaned!AL11</f>
        <v>lø</v>
      </c>
      <c r="W9" s="505" t="str">
        <f>Maaned!AM11</f>
        <v>Weekend</v>
      </c>
      <c r="X9" s="312" t="str">
        <f>Maaned!AN11</f>
        <v/>
      </c>
      <c r="Y9" s="311">
        <f>Maaned!AR11</f>
        <v>7</v>
      </c>
      <c r="Z9" s="301" t="str">
        <f>Maaned!AS11</f>
        <v>ti</v>
      </c>
      <c r="AA9" s="505" t="str">
        <f>Maaned!AT11</f>
        <v>Normal uge 1</v>
      </c>
      <c r="AB9" s="322" t="str">
        <f>Maaned!AU11</f>
        <v/>
      </c>
      <c r="AC9" s="311">
        <f>Maaned!AY11</f>
        <v>7</v>
      </c>
      <c r="AD9" s="301" t="str">
        <f>Maaned!AZ11</f>
        <v>ti</v>
      </c>
      <c r="AE9" s="505" t="str">
        <f>Maaned!BA11</f>
        <v>Normal uge 1</v>
      </c>
      <c r="AF9" s="313" t="str">
        <f>Maaned!BB11</f>
        <v/>
      </c>
      <c r="AG9" s="311">
        <f>Maaned!BF11</f>
        <v>7</v>
      </c>
      <c r="AH9" s="301" t="str">
        <f>Maaned!BG11</f>
        <v>fr</v>
      </c>
      <c r="AI9" s="505" t="str">
        <f>Maaned!BH11</f>
        <v>SH-dag</v>
      </c>
      <c r="AJ9" s="323" t="str">
        <f>Maaned!BI11</f>
        <v/>
      </c>
      <c r="AK9" s="311">
        <f>Maaned!BM11</f>
        <v>7</v>
      </c>
      <c r="AL9" s="301" t="str">
        <f>Maaned!BN11</f>
        <v>sø</v>
      </c>
      <c r="AM9" s="505" t="str">
        <f>Maaned!BO11</f>
        <v>Weekend</v>
      </c>
      <c r="AN9" s="313" t="str">
        <f>Maaned!BP11</f>
        <v/>
      </c>
      <c r="AO9" s="311">
        <f>Maaned!BT11</f>
        <v>7</v>
      </c>
      <c r="AP9" s="301" t="str">
        <f>Maaned!BU11</f>
        <v>on</v>
      </c>
      <c r="AQ9" s="505" t="str">
        <f>Maaned!BV11</f>
        <v>Normal uge 1</v>
      </c>
      <c r="AR9" s="323" t="str">
        <f>Maaned!BW11</f>
        <v/>
      </c>
      <c r="AS9" s="311">
        <f>Maaned!CA11</f>
        <v>7</v>
      </c>
      <c r="AT9" s="301" t="str">
        <f>Maaned!CB11</f>
        <v>fr</v>
      </c>
      <c r="AU9" s="505" t="str">
        <f>Maaned!CC11</f>
        <v>Normal uge 1</v>
      </c>
      <c r="AV9" s="313" t="str">
        <f>Maaned!CD11</f>
        <v/>
      </c>
    </row>
    <row r="10" spans="1:48" ht="24" customHeight="1">
      <c r="A10" s="311">
        <f>Maaned!B12</f>
        <v>8</v>
      </c>
      <c r="B10" s="301" t="str">
        <f>Maaned!C12</f>
        <v>ma</v>
      </c>
      <c r="C10" s="302" t="str">
        <f>Maaned!D12</f>
        <v>Normal uge 1</v>
      </c>
      <c r="D10" s="312">
        <f>Maaned!E12</f>
        <v>32.285714285714285</v>
      </c>
      <c r="E10" s="311">
        <f>Maaned!I12</f>
        <v>8</v>
      </c>
      <c r="F10" s="301" t="str">
        <f>Maaned!J12</f>
        <v>to</v>
      </c>
      <c r="G10" s="505" t="str">
        <f>Maaned!K12</f>
        <v>Normal uge 1</v>
      </c>
      <c r="H10" s="323" t="str">
        <f>Maaned!L12</f>
        <v/>
      </c>
      <c r="I10" s="311">
        <f>Maaned!P12</f>
        <v>8</v>
      </c>
      <c r="J10" s="301" t="str">
        <f>Maaned!Q12</f>
        <v>lø</v>
      </c>
      <c r="K10" s="505" t="str">
        <f>Maaned!R12</f>
        <v>Weekend</v>
      </c>
      <c r="L10" s="330" t="str">
        <f>Maaned!S12</f>
        <v/>
      </c>
      <c r="M10" s="311">
        <f>Maaned!W12</f>
        <v>8</v>
      </c>
      <c r="N10" s="301" t="str">
        <f>Maaned!X12</f>
        <v>ti</v>
      </c>
      <c r="O10" s="505" t="str">
        <f>Maaned!Y12</f>
        <v>Normal uge 1</v>
      </c>
      <c r="P10" s="323" t="str">
        <f>Maaned!Z12</f>
        <v/>
      </c>
      <c r="Q10" s="311">
        <f>Maaned!AD12</f>
        <v>8</v>
      </c>
      <c r="R10" s="301" t="str">
        <f>Maaned!AE12</f>
        <v>to</v>
      </c>
      <c r="S10" s="505" t="str">
        <f>Maaned!AF12</f>
        <v>Normal uge 1</v>
      </c>
      <c r="T10" s="313" t="str">
        <f>Maaned!AG12</f>
        <v/>
      </c>
      <c r="U10" s="311">
        <f>Maaned!AK12</f>
        <v>8</v>
      </c>
      <c r="V10" s="301" t="str">
        <f>Maaned!AL12</f>
        <v>sø</v>
      </c>
      <c r="W10" s="505" t="str">
        <f>Maaned!AM12</f>
        <v>Weekend</v>
      </c>
      <c r="X10" s="312" t="str">
        <f>Maaned!AN12</f>
        <v/>
      </c>
      <c r="Y10" s="311">
        <f>Maaned!AR12</f>
        <v>8</v>
      </c>
      <c r="Z10" s="301" t="str">
        <f>Maaned!AS12</f>
        <v>on</v>
      </c>
      <c r="AA10" s="505" t="str">
        <f>Maaned!AT12</f>
        <v>Normal uge 1</v>
      </c>
      <c r="AB10" s="322" t="str">
        <f>Maaned!AU12</f>
        <v/>
      </c>
      <c r="AC10" s="311">
        <f>Maaned!AY12</f>
        <v>8</v>
      </c>
      <c r="AD10" s="301" t="str">
        <f>Maaned!AZ12</f>
        <v>on</v>
      </c>
      <c r="AE10" s="505" t="str">
        <f>Maaned!BA12</f>
        <v>Normal uge 1</v>
      </c>
      <c r="AF10" s="313" t="str">
        <f>Maaned!BB12</f>
        <v/>
      </c>
      <c r="AG10" s="311">
        <f>Maaned!BF12</f>
        <v>8</v>
      </c>
      <c r="AH10" s="301" t="str">
        <f>Maaned!BG12</f>
        <v>lø</v>
      </c>
      <c r="AI10" s="505" t="str">
        <f>Maaned!BH12</f>
        <v>Weekend</v>
      </c>
      <c r="AJ10" s="323" t="str">
        <f>Maaned!BI12</f>
        <v/>
      </c>
      <c r="AK10" s="311">
        <f>Maaned!BM12</f>
        <v>8</v>
      </c>
      <c r="AL10" s="301" t="str">
        <f>Maaned!BN12</f>
        <v>ma</v>
      </c>
      <c r="AM10" s="505" t="str">
        <f>Maaned!BO12</f>
        <v>Normal uge 1</v>
      </c>
      <c r="AN10" s="313">
        <f>Maaned!BP12</f>
        <v>19.142857142857142</v>
      </c>
      <c r="AO10" s="311">
        <f>Maaned!BT12</f>
        <v>8</v>
      </c>
      <c r="AP10" s="301" t="str">
        <f>Maaned!BU12</f>
        <v>to</v>
      </c>
      <c r="AQ10" s="505" t="str">
        <f>Maaned!BV12</f>
        <v>Normal uge 1</v>
      </c>
      <c r="AR10" s="323" t="str">
        <f>Maaned!BW12</f>
        <v/>
      </c>
      <c r="AS10" s="311">
        <f>Maaned!CA12</f>
        <v>8</v>
      </c>
      <c r="AT10" s="301" t="str">
        <f>Maaned!CB12</f>
        <v>lø</v>
      </c>
      <c r="AU10" s="505" t="str">
        <f>Maaned!CC12</f>
        <v>Weekend</v>
      </c>
      <c r="AV10" s="313" t="str">
        <f>Maaned!CD12</f>
        <v/>
      </c>
    </row>
    <row r="11" spans="1:48" ht="24" customHeight="1">
      <c r="A11" s="311">
        <f>Maaned!B13</f>
        <v>9</v>
      </c>
      <c r="B11" s="301" t="str">
        <f>Maaned!C13</f>
        <v>ti</v>
      </c>
      <c r="C11" s="302" t="str">
        <f>Maaned!D13</f>
        <v>Normal uge 1</v>
      </c>
      <c r="D11" s="312" t="str">
        <f>Maaned!E13</f>
        <v/>
      </c>
      <c r="E11" s="311">
        <f>Maaned!I13</f>
        <v>9</v>
      </c>
      <c r="F11" s="301" t="str">
        <f>Maaned!J13</f>
        <v>fr</v>
      </c>
      <c r="G11" s="505" t="str">
        <f>Maaned!K13</f>
        <v>Normal uge 1</v>
      </c>
      <c r="H11" s="323" t="str">
        <f>Maaned!L13</f>
        <v/>
      </c>
      <c r="I11" s="311">
        <f>Maaned!P13</f>
        <v>9</v>
      </c>
      <c r="J11" s="301" t="str">
        <f>Maaned!Q13</f>
        <v>sø</v>
      </c>
      <c r="K11" s="505" t="str">
        <f>Maaned!R13</f>
        <v>Weekend</v>
      </c>
      <c r="L11" s="330" t="str">
        <f>Maaned!S13</f>
        <v/>
      </c>
      <c r="M11" s="311">
        <f>Maaned!W13</f>
        <v>9</v>
      </c>
      <c r="N11" s="301" t="str">
        <f>Maaned!X13</f>
        <v>on</v>
      </c>
      <c r="O11" s="505" t="str">
        <f>Maaned!Y13</f>
        <v>Normal uge 1</v>
      </c>
      <c r="P11" s="323" t="str">
        <f>Maaned!Z13</f>
        <v/>
      </c>
      <c r="Q11" s="311">
        <f>Maaned!AD13</f>
        <v>9</v>
      </c>
      <c r="R11" s="301" t="str">
        <f>Maaned!AE13</f>
        <v>fr</v>
      </c>
      <c r="S11" s="505" t="str">
        <f>Maaned!AF13</f>
        <v>Normal uge 1</v>
      </c>
      <c r="T11" s="313" t="str">
        <f>Maaned!AG13</f>
        <v/>
      </c>
      <c r="U11" s="311">
        <f>Maaned!AK13</f>
        <v>9</v>
      </c>
      <c r="V11" s="301" t="str">
        <f>Maaned!AL13</f>
        <v>ma</v>
      </c>
      <c r="W11" s="505" t="str">
        <f>Maaned!AM13</f>
        <v>Normal uge 1</v>
      </c>
      <c r="X11" s="312">
        <f>Maaned!AN13</f>
        <v>2.1428571428571428</v>
      </c>
      <c r="Y11" s="311">
        <f>Maaned!AR13</f>
        <v>9</v>
      </c>
      <c r="Z11" s="301" t="str">
        <f>Maaned!AS13</f>
        <v>to</v>
      </c>
      <c r="AA11" s="505" t="str">
        <f>Maaned!AT13</f>
        <v>Normal uge 1</v>
      </c>
      <c r="AB11" s="322" t="str">
        <f>Maaned!AU13</f>
        <v/>
      </c>
      <c r="AC11" s="311">
        <f>Maaned!AY13</f>
        <v>9</v>
      </c>
      <c r="AD11" s="301" t="str">
        <f>Maaned!AZ13</f>
        <v>to</v>
      </c>
      <c r="AE11" s="505" t="str">
        <f>Maaned!BA13</f>
        <v>Normal uge 1</v>
      </c>
      <c r="AF11" s="313" t="str">
        <f>Maaned!BB13</f>
        <v/>
      </c>
      <c r="AG11" s="311">
        <f>Maaned!BF13</f>
        <v>9</v>
      </c>
      <c r="AH11" s="301" t="str">
        <f>Maaned!BG13</f>
        <v>sø</v>
      </c>
      <c r="AI11" s="505" t="str">
        <f>Maaned!BH13</f>
        <v>Weekend</v>
      </c>
      <c r="AJ11" s="323" t="str">
        <f>Maaned!BI13</f>
        <v/>
      </c>
      <c r="AK11" s="311">
        <f>Maaned!BM13</f>
        <v>9</v>
      </c>
      <c r="AL11" s="301" t="str">
        <f>Maaned!BN13</f>
        <v>ti</v>
      </c>
      <c r="AM11" s="505" t="str">
        <f>Maaned!BO13</f>
        <v>Normal uge 1</v>
      </c>
      <c r="AN11" s="313" t="str">
        <f>Maaned!BP13</f>
        <v/>
      </c>
      <c r="AO11" s="311">
        <f>Maaned!BT13</f>
        <v>9</v>
      </c>
      <c r="AP11" s="301" t="str">
        <f>Maaned!BU13</f>
        <v>fr</v>
      </c>
      <c r="AQ11" s="505" t="str">
        <f>Maaned!BV13</f>
        <v>Normal uge 1</v>
      </c>
      <c r="AR11" s="323" t="str">
        <f>Maaned!BW13</f>
        <v/>
      </c>
      <c r="AS11" s="311">
        <f>Maaned!CA13</f>
        <v>9</v>
      </c>
      <c r="AT11" s="301" t="str">
        <f>Maaned!CB13</f>
        <v>sø</v>
      </c>
      <c r="AU11" s="505" t="str">
        <f>Maaned!CC13</f>
        <v>Weekend</v>
      </c>
      <c r="AV11" s="313" t="str">
        <f>Maaned!CD13</f>
        <v/>
      </c>
    </row>
    <row r="12" spans="1:48" ht="24" customHeight="1">
      <c r="A12" s="311">
        <f>Maaned!B14</f>
        <v>10</v>
      </c>
      <c r="B12" s="301" t="str">
        <f>Maaned!C14</f>
        <v>on</v>
      </c>
      <c r="C12" s="302" t="str">
        <f>Maaned!D14</f>
        <v>Normal uge 1</v>
      </c>
      <c r="D12" s="312" t="str">
        <f>Maaned!E14</f>
        <v/>
      </c>
      <c r="E12" s="311">
        <f>Maaned!I14</f>
        <v>10</v>
      </c>
      <c r="F12" s="301" t="str">
        <f>Maaned!J14</f>
        <v>lø</v>
      </c>
      <c r="G12" s="505" t="str">
        <f>Maaned!K14</f>
        <v>Weekend</v>
      </c>
      <c r="H12" s="323" t="str">
        <f>Maaned!L14</f>
        <v/>
      </c>
      <c r="I12" s="311">
        <f>Maaned!P14</f>
        <v>10</v>
      </c>
      <c r="J12" s="301" t="str">
        <f>Maaned!Q14</f>
        <v>ma</v>
      </c>
      <c r="K12" s="505" t="str">
        <f>Maaned!R14</f>
        <v>Normal uge 1</v>
      </c>
      <c r="L12" s="330">
        <f>Maaned!S14</f>
        <v>41.285714285714285</v>
      </c>
      <c r="M12" s="311">
        <f>Maaned!W14</f>
        <v>10</v>
      </c>
      <c r="N12" s="301" t="str">
        <f>Maaned!X14</f>
        <v>to</v>
      </c>
      <c r="O12" s="505" t="str">
        <f>Maaned!Y14</f>
        <v>Normal uge 1</v>
      </c>
      <c r="P12" s="323" t="str">
        <f>Maaned!Z14</f>
        <v/>
      </c>
      <c r="Q12" s="311">
        <f>Maaned!AD14</f>
        <v>10</v>
      </c>
      <c r="R12" s="301" t="str">
        <f>Maaned!AE14</f>
        <v>lø</v>
      </c>
      <c r="S12" s="505" t="str">
        <f>Maaned!AF14</f>
        <v>Weekend</v>
      </c>
      <c r="T12" s="313" t="str">
        <f>Maaned!AG14</f>
        <v/>
      </c>
      <c r="U12" s="311">
        <f>Maaned!AK14</f>
        <v>10</v>
      </c>
      <c r="V12" s="301" t="str">
        <f>Maaned!AL14</f>
        <v>ti</v>
      </c>
      <c r="W12" s="505" t="str">
        <f>Maaned!AM14</f>
        <v>Normal uge 1</v>
      </c>
      <c r="X12" s="312" t="str">
        <f>Maaned!AN14</f>
        <v/>
      </c>
      <c r="Y12" s="311">
        <f>Maaned!AR14</f>
        <v>10</v>
      </c>
      <c r="Z12" s="301" t="str">
        <f>Maaned!AS14</f>
        <v>fr</v>
      </c>
      <c r="AA12" s="505" t="str">
        <f>Maaned!AT14</f>
        <v>Normal uge 1</v>
      </c>
      <c r="AB12" s="322" t="str">
        <f>Maaned!AU14</f>
        <v/>
      </c>
      <c r="AC12" s="311">
        <f>Maaned!AY14</f>
        <v>10</v>
      </c>
      <c r="AD12" s="301" t="str">
        <f>Maaned!AZ14</f>
        <v>fr</v>
      </c>
      <c r="AE12" s="505" t="str">
        <f>Maaned!BA14</f>
        <v>Normal uge 1</v>
      </c>
      <c r="AF12" s="313" t="str">
        <f>Maaned!BB14</f>
        <v/>
      </c>
      <c r="AG12" s="311">
        <f>Maaned!BF14</f>
        <v>10</v>
      </c>
      <c r="AH12" s="301" t="str">
        <f>Maaned!BG14</f>
        <v>ma</v>
      </c>
      <c r="AI12" s="505" t="str">
        <f>Maaned!BH14</f>
        <v>SH-dag</v>
      </c>
      <c r="AJ12" s="323">
        <f>Maaned!BI14</f>
        <v>15.142857142857142</v>
      </c>
      <c r="AK12" s="311">
        <f>Maaned!BM14</f>
        <v>10</v>
      </c>
      <c r="AL12" s="301" t="str">
        <f>Maaned!BN14</f>
        <v>on</v>
      </c>
      <c r="AM12" s="505" t="str">
        <f>Maaned!BO14</f>
        <v>Normal uge 1</v>
      </c>
      <c r="AN12" s="313" t="str">
        <f>Maaned!BP14</f>
        <v/>
      </c>
      <c r="AO12" s="311">
        <f>Maaned!BT14</f>
        <v>10</v>
      </c>
      <c r="AP12" s="301" t="str">
        <f>Maaned!BU14</f>
        <v>lø</v>
      </c>
      <c r="AQ12" s="505" t="str">
        <f>Maaned!BV14</f>
        <v>Weekend</v>
      </c>
      <c r="AR12" s="323" t="str">
        <f>Maaned!BW14</f>
        <v/>
      </c>
      <c r="AS12" s="311">
        <f>Maaned!CA14</f>
        <v>10</v>
      </c>
      <c r="AT12" s="301" t="str">
        <f>Maaned!CB14</f>
        <v>ma</v>
      </c>
      <c r="AU12" s="505" t="str">
        <f>Maaned!CC14</f>
        <v>Normal uge 1</v>
      </c>
      <c r="AV12" s="313">
        <f>Maaned!CD14</f>
        <v>28.142857142857142</v>
      </c>
    </row>
    <row r="13" spans="1:48" ht="24" customHeight="1">
      <c r="A13" s="311">
        <f>Maaned!B15</f>
        <v>11</v>
      </c>
      <c r="B13" s="301" t="str">
        <f>Maaned!C15</f>
        <v>to</v>
      </c>
      <c r="C13" s="302" t="str">
        <f>Maaned!D15</f>
        <v>Normal uge 1</v>
      </c>
      <c r="D13" s="312" t="str">
        <f>Maaned!E15</f>
        <v/>
      </c>
      <c r="E13" s="311">
        <f>Maaned!I15</f>
        <v>11</v>
      </c>
      <c r="F13" s="301" t="str">
        <f>Maaned!J15</f>
        <v>sø</v>
      </c>
      <c r="G13" s="505" t="str">
        <f>Maaned!K15</f>
        <v>Weekend</v>
      </c>
      <c r="H13" s="323" t="str">
        <f>Maaned!L15</f>
        <v/>
      </c>
      <c r="I13" s="311">
        <f>Maaned!P15</f>
        <v>11</v>
      </c>
      <c r="J13" s="301" t="str">
        <f>Maaned!Q15</f>
        <v>ti</v>
      </c>
      <c r="K13" s="505" t="str">
        <f>Maaned!R15</f>
        <v>Normal uge 1</v>
      </c>
      <c r="L13" s="330" t="str">
        <f>Maaned!S15</f>
        <v/>
      </c>
      <c r="M13" s="311">
        <f>Maaned!W15</f>
        <v>11</v>
      </c>
      <c r="N13" s="301" t="str">
        <f>Maaned!X15</f>
        <v>fr</v>
      </c>
      <c r="O13" s="505" t="str">
        <f>Maaned!Y15</f>
        <v>Normal uge 1</v>
      </c>
      <c r="P13" s="323" t="str">
        <f>Maaned!Z15</f>
        <v/>
      </c>
      <c r="Q13" s="311">
        <f>Maaned!AD15</f>
        <v>11</v>
      </c>
      <c r="R13" s="301" t="str">
        <f>Maaned!AE15</f>
        <v>sø</v>
      </c>
      <c r="S13" s="505" t="str">
        <f>Maaned!AF15</f>
        <v>Weekend</v>
      </c>
      <c r="T13" s="313" t="str">
        <f>Maaned!AG15</f>
        <v/>
      </c>
      <c r="U13" s="311">
        <f>Maaned!AK15</f>
        <v>11</v>
      </c>
      <c r="V13" s="301" t="str">
        <f>Maaned!AL15</f>
        <v>on</v>
      </c>
      <c r="W13" s="505" t="str">
        <f>Maaned!AM15</f>
        <v>Normal uge 1</v>
      </c>
      <c r="X13" s="312" t="str">
        <f>Maaned!AN15</f>
        <v/>
      </c>
      <c r="Y13" s="311">
        <f>Maaned!AR15</f>
        <v>11</v>
      </c>
      <c r="Z13" s="301" t="str">
        <f>Maaned!AS15</f>
        <v>lø</v>
      </c>
      <c r="AA13" s="505" t="str">
        <f>Maaned!AT15</f>
        <v>Weekend</v>
      </c>
      <c r="AB13" s="322" t="str">
        <f>Maaned!AU15</f>
        <v/>
      </c>
      <c r="AC13" s="311">
        <f>Maaned!AY15</f>
        <v>11</v>
      </c>
      <c r="AD13" s="301" t="str">
        <f>Maaned!AZ15</f>
        <v>lø</v>
      </c>
      <c r="AE13" s="505" t="str">
        <f>Maaned!BA15</f>
        <v>Weekend</v>
      </c>
      <c r="AF13" s="313" t="str">
        <f>Maaned!BB15</f>
        <v/>
      </c>
      <c r="AG13" s="311">
        <f>Maaned!BF15</f>
        <v>11</v>
      </c>
      <c r="AH13" s="301" t="str">
        <f>Maaned!BG15</f>
        <v>ti</v>
      </c>
      <c r="AI13" s="505" t="str">
        <f>Maaned!BH15</f>
        <v>Normal uge 1</v>
      </c>
      <c r="AJ13" s="323" t="str">
        <f>Maaned!BI15</f>
        <v/>
      </c>
      <c r="AK13" s="311">
        <f>Maaned!BM15</f>
        <v>11</v>
      </c>
      <c r="AL13" s="301" t="str">
        <f>Maaned!BN15</f>
        <v>to</v>
      </c>
      <c r="AM13" s="505" t="str">
        <f>Maaned!BO15</f>
        <v>Normal uge 1</v>
      </c>
      <c r="AN13" s="313" t="str">
        <f>Maaned!BP15</f>
        <v/>
      </c>
      <c r="AO13" s="311">
        <f>Maaned!BT15</f>
        <v>11</v>
      </c>
      <c r="AP13" s="301" t="str">
        <f>Maaned!BU15</f>
        <v>sø</v>
      </c>
      <c r="AQ13" s="505" t="str">
        <f>Maaned!BV15</f>
        <v>Weekend</v>
      </c>
      <c r="AR13" s="323" t="str">
        <f>Maaned!BW15</f>
        <v/>
      </c>
      <c r="AS13" s="311">
        <f>Maaned!CA15</f>
        <v>11</v>
      </c>
      <c r="AT13" s="301" t="str">
        <f>Maaned!CB15</f>
        <v>ti</v>
      </c>
      <c r="AU13" s="505" t="str">
        <f>Maaned!CC15</f>
        <v>Normal uge 1</v>
      </c>
      <c r="AV13" s="313" t="str">
        <f>Maaned!CD15</f>
        <v/>
      </c>
    </row>
    <row r="14" spans="1:48" ht="24" customHeight="1">
      <c r="A14" s="311">
        <f>Maaned!B16</f>
        <v>12</v>
      </c>
      <c r="B14" s="301" t="str">
        <f>Maaned!C16</f>
        <v>fr</v>
      </c>
      <c r="C14" s="302" t="str">
        <f>Maaned!D16</f>
        <v>Normal uge 1</v>
      </c>
      <c r="D14" s="312" t="str">
        <f>Maaned!E16</f>
        <v/>
      </c>
      <c r="E14" s="311">
        <f>Maaned!I16</f>
        <v>12</v>
      </c>
      <c r="F14" s="301" t="str">
        <f>Maaned!J16</f>
        <v>ma</v>
      </c>
      <c r="G14" s="505" t="str">
        <f>Maaned!K16</f>
        <v>Normal uge 1</v>
      </c>
      <c r="H14" s="323">
        <f>Maaned!L16</f>
        <v>37.285714285714285</v>
      </c>
      <c r="I14" s="311">
        <f>Maaned!P16</f>
        <v>12</v>
      </c>
      <c r="J14" s="301" t="str">
        <f>Maaned!Q16</f>
        <v>on</v>
      </c>
      <c r="K14" s="505" t="str">
        <f>Maaned!R16</f>
        <v>Normal uge 1</v>
      </c>
      <c r="L14" s="330" t="str">
        <f>Maaned!S16</f>
        <v/>
      </c>
      <c r="M14" s="311">
        <f>Maaned!W16</f>
        <v>12</v>
      </c>
      <c r="N14" s="301" t="str">
        <f>Maaned!X16</f>
        <v>lø</v>
      </c>
      <c r="O14" s="505" t="str">
        <f>Maaned!Y16</f>
        <v>Weekend</v>
      </c>
      <c r="P14" s="323" t="str">
        <f>Maaned!Z16</f>
        <v/>
      </c>
      <c r="Q14" s="311">
        <f>Maaned!AD16</f>
        <v>12</v>
      </c>
      <c r="R14" s="301" t="str">
        <f>Maaned!AE16</f>
        <v>ma</v>
      </c>
      <c r="S14" s="505" t="str">
        <f>Maaned!AF16</f>
        <v>Normal uge 1</v>
      </c>
      <c r="T14" s="313">
        <f>Maaned!AG16</f>
        <v>50.285714285714285</v>
      </c>
      <c r="U14" s="311">
        <f>Maaned!AK16</f>
        <v>12</v>
      </c>
      <c r="V14" s="301" t="str">
        <f>Maaned!AL16</f>
        <v>to</v>
      </c>
      <c r="W14" s="505" t="str">
        <f>Maaned!AM16</f>
        <v>Normal uge 1</v>
      </c>
      <c r="X14" s="312" t="str">
        <f>Maaned!AN16</f>
        <v/>
      </c>
      <c r="Y14" s="311">
        <f>Maaned!AR16</f>
        <v>12</v>
      </c>
      <c r="Z14" s="301" t="str">
        <f>Maaned!AS16</f>
        <v>sø</v>
      </c>
      <c r="AA14" s="505" t="str">
        <f>Maaned!AT16</f>
        <v>Weekend</v>
      </c>
      <c r="AB14" s="322" t="str">
        <f>Maaned!AU16</f>
        <v/>
      </c>
      <c r="AC14" s="311">
        <f>Maaned!AY16</f>
        <v>12</v>
      </c>
      <c r="AD14" s="301" t="str">
        <f>Maaned!AZ16</f>
        <v>sø</v>
      </c>
      <c r="AE14" s="505" t="str">
        <f>Maaned!BA16</f>
        <v>Weekend</v>
      </c>
      <c r="AF14" s="313" t="str">
        <f>Maaned!BB16</f>
        <v/>
      </c>
      <c r="AG14" s="311">
        <f>Maaned!BF16</f>
        <v>12</v>
      </c>
      <c r="AH14" s="301" t="str">
        <f>Maaned!BG16</f>
        <v>on</v>
      </c>
      <c r="AI14" s="505" t="str">
        <f>Maaned!BH16</f>
        <v>Normal uge 1</v>
      </c>
      <c r="AJ14" s="323" t="str">
        <f>Maaned!BI16</f>
        <v/>
      </c>
      <c r="AK14" s="311">
        <f>Maaned!BM16</f>
        <v>12</v>
      </c>
      <c r="AL14" s="301" t="str">
        <f>Maaned!BN16</f>
        <v>fr</v>
      </c>
      <c r="AM14" s="505" t="str">
        <f>Maaned!BO16</f>
        <v>Normal uge 1</v>
      </c>
      <c r="AN14" s="313" t="str">
        <f>Maaned!BP16</f>
        <v/>
      </c>
      <c r="AO14" s="311">
        <f>Maaned!BT16</f>
        <v>12</v>
      </c>
      <c r="AP14" s="301" t="str">
        <f>Maaned!BU16</f>
        <v>ma</v>
      </c>
      <c r="AQ14" s="505" t="str">
        <f>Maaned!BV16</f>
        <v>Normal uge 1</v>
      </c>
      <c r="AR14" s="323">
        <f>Maaned!BW16</f>
        <v>24.142857142857142</v>
      </c>
      <c r="AS14" s="311">
        <f>Maaned!CA16</f>
        <v>12</v>
      </c>
      <c r="AT14" s="301" t="str">
        <f>Maaned!CB16</f>
        <v>on</v>
      </c>
      <c r="AU14" s="505" t="str">
        <f>Maaned!CC16</f>
        <v>Normal uge 1</v>
      </c>
      <c r="AV14" s="313" t="str">
        <f>Maaned!CD16</f>
        <v/>
      </c>
    </row>
    <row r="15" spans="1:48" ht="24" customHeight="1">
      <c r="A15" s="311">
        <f>Maaned!B17</f>
        <v>13</v>
      </c>
      <c r="B15" s="301" t="str">
        <f>Maaned!C17</f>
        <v>lø</v>
      </c>
      <c r="C15" s="302" t="str">
        <f>Maaned!D17</f>
        <v>Weekend</v>
      </c>
      <c r="D15" s="313" t="str">
        <f>Maaned!E17</f>
        <v/>
      </c>
      <c r="E15" s="311">
        <f>Maaned!I17</f>
        <v>13</v>
      </c>
      <c r="F15" s="301" t="str">
        <f>Maaned!J17</f>
        <v>ti</v>
      </c>
      <c r="G15" s="505" t="str">
        <f>Maaned!K17</f>
        <v>Normal uge 1</v>
      </c>
      <c r="H15" s="323" t="str">
        <f>Maaned!L17</f>
        <v/>
      </c>
      <c r="I15" s="311">
        <f>Maaned!P17</f>
        <v>13</v>
      </c>
      <c r="J15" s="301" t="str">
        <f>Maaned!Q17</f>
        <v>to</v>
      </c>
      <c r="K15" s="505" t="str">
        <f>Maaned!R17</f>
        <v>Normal uge 1</v>
      </c>
      <c r="L15" s="330" t="str">
        <f>Maaned!S17</f>
        <v/>
      </c>
      <c r="M15" s="311">
        <f>Maaned!W17</f>
        <v>13</v>
      </c>
      <c r="N15" s="301" t="str">
        <f>Maaned!X17</f>
        <v>sø</v>
      </c>
      <c r="O15" s="505" t="str">
        <f>Maaned!Y17</f>
        <v>Weekend</v>
      </c>
      <c r="P15" s="323" t="str">
        <f>Maaned!Z17</f>
        <v/>
      </c>
      <c r="Q15" s="311">
        <f>Maaned!AD17</f>
        <v>13</v>
      </c>
      <c r="R15" s="301" t="str">
        <f>Maaned!AE17</f>
        <v>ti</v>
      </c>
      <c r="S15" s="505" t="str">
        <f>Maaned!AF17</f>
        <v>Normal uge 1</v>
      </c>
      <c r="T15" s="313" t="str">
        <f>Maaned!AG17</f>
        <v/>
      </c>
      <c r="U15" s="311">
        <f>Maaned!AK17</f>
        <v>13</v>
      </c>
      <c r="V15" s="301" t="str">
        <f>Maaned!AL17</f>
        <v>fr</v>
      </c>
      <c r="W15" s="505" t="str">
        <f>Maaned!AM17</f>
        <v>Normal uge 1</v>
      </c>
      <c r="X15" s="312" t="str">
        <f>Maaned!AN17</f>
        <v/>
      </c>
      <c r="Y15" s="311">
        <f>Maaned!AR17</f>
        <v>13</v>
      </c>
      <c r="Z15" s="301" t="str">
        <f>Maaned!AS17</f>
        <v>ma</v>
      </c>
      <c r="AA15" s="505" t="str">
        <f>Maaned!AT17</f>
        <v>Normal uge 1</v>
      </c>
      <c r="AB15" s="322">
        <f>Maaned!AU17</f>
        <v>7.1428571428571432</v>
      </c>
      <c r="AC15" s="311">
        <f>Maaned!AY17</f>
        <v>13</v>
      </c>
      <c r="AD15" s="301" t="str">
        <f>Maaned!AZ17</f>
        <v>ma</v>
      </c>
      <c r="AE15" s="505" t="str">
        <f>Maaned!BA17</f>
        <v>Normal uge 1</v>
      </c>
      <c r="AF15" s="313">
        <f>Maaned!BB17</f>
        <v>11.142857142857142</v>
      </c>
      <c r="AG15" s="311">
        <f>Maaned!BF17</f>
        <v>13</v>
      </c>
      <c r="AH15" s="301" t="str">
        <f>Maaned!BG17</f>
        <v>to</v>
      </c>
      <c r="AI15" s="505" t="str">
        <f>Maaned!BH17</f>
        <v>Normal uge 1</v>
      </c>
      <c r="AJ15" s="323" t="str">
        <f>Maaned!BI17</f>
        <v/>
      </c>
      <c r="AK15" s="311">
        <f>Maaned!BM17</f>
        <v>13</v>
      </c>
      <c r="AL15" s="301" t="str">
        <f>Maaned!BN17</f>
        <v>lø</v>
      </c>
      <c r="AM15" s="505" t="str">
        <f>Maaned!BO17</f>
        <v>Weekend</v>
      </c>
      <c r="AN15" s="313" t="str">
        <f>Maaned!BP17</f>
        <v/>
      </c>
      <c r="AO15" s="311">
        <f>Maaned!BT17</f>
        <v>13</v>
      </c>
      <c r="AP15" s="301" t="str">
        <f>Maaned!BU17</f>
        <v>ti</v>
      </c>
      <c r="AQ15" s="505" t="str">
        <f>Maaned!BV17</f>
        <v>Normal uge 1</v>
      </c>
      <c r="AR15" s="323" t="str">
        <f>Maaned!BW17</f>
        <v/>
      </c>
      <c r="AS15" s="311">
        <f>Maaned!CA17</f>
        <v>13</v>
      </c>
      <c r="AT15" s="301" t="str">
        <f>Maaned!CB17</f>
        <v>to</v>
      </c>
      <c r="AU15" s="505" t="str">
        <f>Maaned!CC17</f>
        <v>Normal uge 1</v>
      </c>
      <c r="AV15" s="313" t="str">
        <f>Maaned!CD17</f>
        <v/>
      </c>
    </row>
    <row r="16" spans="1:48" ht="24" customHeight="1">
      <c r="A16" s="311">
        <f>Maaned!B18</f>
        <v>14</v>
      </c>
      <c r="B16" s="301" t="str">
        <f>Maaned!C18</f>
        <v>sø</v>
      </c>
      <c r="C16" s="302" t="str">
        <f>Maaned!D18</f>
        <v>Weekend</v>
      </c>
      <c r="D16" s="313" t="str">
        <f>Maaned!E18</f>
        <v/>
      </c>
      <c r="E16" s="311">
        <f>Maaned!I18</f>
        <v>14</v>
      </c>
      <c r="F16" s="301" t="str">
        <f>Maaned!J18</f>
        <v>on</v>
      </c>
      <c r="G16" s="505" t="str">
        <f>Maaned!K18</f>
        <v>Normal uge 1</v>
      </c>
      <c r="H16" s="323" t="str">
        <f>Maaned!L18</f>
        <v/>
      </c>
      <c r="I16" s="311">
        <f>Maaned!P18</f>
        <v>14</v>
      </c>
      <c r="J16" s="301" t="str">
        <f>Maaned!Q18</f>
        <v>fr</v>
      </c>
      <c r="K16" s="505" t="str">
        <f>Maaned!R18</f>
        <v>Normal uge 1</v>
      </c>
      <c r="L16" s="330" t="str">
        <f>Maaned!S18</f>
        <v/>
      </c>
      <c r="M16" s="311">
        <f>Maaned!W18</f>
        <v>14</v>
      </c>
      <c r="N16" s="301" t="str">
        <f>Maaned!X18</f>
        <v>ma</v>
      </c>
      <c r="O16" s="505" t="str">
        <f>Maaned!Y18</f>
        <v>Normal uge 1</v>
      </c>
      <c r="P16" s="323">
        <f>Maaned!Z18</f>
        <v>46.285714285714285</v>
      </c>
      <c r="Q16" s="311">
        <f>Maaned!AD18</f>
        <v>14</v>
      </c>
      <c r="R16" s="301" t="str">
        <f>Maaned!AE18</f>
        <v>on</v>
      </c>
      <c r="S16" s="505" t="str">
        <f>Maaned!AF18</f>
        <v>Normal uge 1</v>
      </c>
      <c r="T16" s="313" t="str">
        <f>Maaned!AG18</f>
        <v/>
      </c>
      <c r="U16" s="311">
        <f>Maaned!AK18</f>
        <v>14</v>
      </c>
      <c r="V16" s="301" t="str">
        <f>Maaned!AL18</f>
        <v>lø</v>
      </c>
      <c r="W16" s="505" t="str">
        <f>Maaned!AM18</f>
        <v>Weekend</v>
      </c>
      <c r="X16" s="312" t="str">
        <f>Maaned!AN18</f>
        <v/>
      </c>
      <c r="Y16" s="311">
        <f>Maaned!AR18</f>
        <v>14</v>
      </c>
      <c r="Z16" s="301" t="str">
        <f>Maaned!AS18</f>
        <v>ti</v>
      </c>
      <c r="AA16" s="505" t="str">
        <f>Maaned!AT18</f>
        <v>Normal uge 1</v>
      </c>
      <c r="AB16" s="322" t="str">
        <f>Maaned!AU18</f>
        <v/>
      </c>
      <c r="AC16" s="311">
        <f>Maaned!AY18</f>
        <v>14</v>
      </c>
      <c r="AD16" s="301" t="str">
        <f>Maaned!AZ18</f>
        <v>ti</v>
      </c>
      <c r="AE16" s="505" t="str">
        <f>Maaned!BA18</f>
        <v>Normal uge 1</v>
      </c>
      <c r="AF16" s="313" t="str">
        <f>Maaned!BB18</f>
        <v/>
      </c>
      <c r="AG16" s="311">
        <f>Maaned!BF18</f>
        <v>14</v>
      </c>
      <c r="AH16" s="301" t="str">
        <f>Maaned!BG18</f>
        <v>fr</v>
      </c>
      <c r="AI16" s="505" t="str">
        <f>Maaned!BH18</f>
        <v>Normal uge 1</v>
      </c>
      <c r="AJ16" s="323" t="str">
        <f>Maaned!BI18</f>
        <v/>
      </c>
      <c r="AK16" s="311">
        <f>Maaned!BM18</f>
        <v>14</v>
      </c>
      <c r="AL16" s="301" t="str">
        <f>Maaned!BN18</f>
        <v>sø</v>
      </c>
      <c r="AM16" s="505" t="str">
        <f>Maaned!BO18</f>
        <v>Weekend</v>
      </c>
      <c r="AN16" s="313" t="str">
        <f>Maaned!BP18</f>
        <v/>
      </c>
      <c r="AO16" s="311">
        <f>Maaned!BT18</f>
        <v>14</v>
      </c>
      <c r="AP16" s="301" t="str">
        <f>Maaned!BU18</f>
        <v>on</v>
      </c>
      <c r="AQ16" s="505" t="str">
        <f>Maaned!BV18</f>
        <v>Normal uge 1</v>
      </c>
      <c r="AR16" s="323" t="str">
        <f>Maaned!BW18</f>
        <v/>
      </c>
      <c r="AS16" s="311">
        <f>Maaned!CA18</f>
        <v>14</v>
      </c>
      <c r="AT16" s="301" t="str">
        <f>Maaned!CB18</f>
        <v>fr</v>
      </c>
      <c r="AU16" s="505" t="str">
        <f>Maaned!CC18</f>
        <v>Normal uge 1</v>
      </c>
      <c r="AV16" s="313" t="str">
        <f>Maaned!CD18</f>
        <v/>
      </c>
    </row>
    <row r="17" spans="1:48" ht="24" customHeight="1">
      <c r="A17" s="311">
        <f>Maaned!B19</f>
        <v>15</v>
      </c>
      <c r="B17" s="301" t="str">
        <f>Maaned!C19</f>
        <v>ma</v>
      </c>
      <c r="C17" s="302" t="str">
        <f>Maaned!D19</f>
        <v>Normal uge 1</v>
      </c>
      <c r="D17" s="312">
        <f>Maaned!E19</f>
        <v>33.285714285714285</v>
      </c>
      <c r="E17" s="311">
        <f>Maaned!I19</f>
        <v>15</v>
      </c>
      <c r="F17" s="301" t="str">
        <f>Maaned!J19</f>
        <v>to</v>
      </c>
      <c r="G17" s="505" t="str">
        <f>Maaned!K19</f>
        <v>Normal uge 1</v>
      </c>
      <c r="H17" s="323" t="str">
        <f>Maaned!L19</f>
        <v/>
      </c>
      <c r="I17" s="311">
        <f>Maaned!P19</f>
        <v>15</v>
      </c>
      <c r="J17" s="301" t="str">
        <f>Maaned!Q19</f>
        <v>lø</v>
      </c>
      <c r="K17" s="505" t="str">
        <f>Maaned!R19</f>
        <v>Weekend</v>
      </c>
      <c r="L17" s="330" t="str">
        <f>Maaned!S19</f>
        <v/>
      </c>
      <c r="M17" s="311">
        <f>Maaned!W19</f>
        <v>15</v>
      </c>
      <c r="N17" s="301" t="str">
        <f>Maaned!X19</f>
        <v>ti</v>
      </c>
      <c r="O17" s="505" t="str">
        <f>Maaned!Y19</f>
        <v>Normal uge 1</v>
      </c>
      <c r="P17" s="323" t="str">
        <f>Maaned!Z19</f>
        <v/>
      </c>
      <c r="Q17" s="311">
        <f>Maaned!AD19</f>
        <v>15</v>
      </c>
      <c r="R17" s="301" t="str">
        <f>Maaned!AE19</f>
        <v>to</v>
      </c>
      <c r="S17" s="505" t="str">
        <f>Maaned!AF19</f>
        <v>Normal uge 1</v>
      </c>
      <c r="T17" s="313" t="str">
        <f>Maaned!AG19</f>
        <v/>
      </c>
      <c r="U17" s="311">
        <f>Maaned!AK19</f>
        <v>15</v>
      </c>
      <c r="V17" s="301" t="str">
        <f>Maaned!AL19</f>
        <v>sø</v>
      </c>
      <c r="W17" s="505" t="str">
        <f>Maaned!AM19</f>
        <v>Weekend</v>
      </c>
      <c r="X17" s="312" t="str">
        <f>Maaned!AN19</f>
        <v/>
      </c>
      <c r="Y17" s="311">
        <f>Maaned!AR19</f>
        <v>15</v>
      </c>
      <c r="Z17" s="301" t="str">
        <f>Maaned!AS19</f>
        <v>on</v>
      </c>
      <c r="AA17" s="505" t="str">
        <f>Maaned!AT19</f>
        <v>Normal uge 1</v>
      </c>
      <c r="AB17" s="322" t="str">
        <f>Maaned!AU19</f>
        <v/>
      </c>
      <c r="AC17" s="311">
        <f>Maaned!AY19</f>
        <v>15</v>
      </c>
      <c r="AD17" s="301" t="str">
        <f>Maaned!AZ19</f>
        <v>on</v>
      </c>
      <c r="AE17" s="505" t="str">
        <f>Maaned!BA19</f>
        <v>Normal uge 1</v>
      </c>
      <c r="AF17" s="313" t="str">
        <f>Maaned!BB19</f>
        <v/>
      </c>
      <c r="AG17" s="311">
        <f>Maaned!BF19</f>
        <v>15</v>
      </c>
      <c r="AH17" s="301" t="str">
        <f>Maaned!BG19</f>
        <v>lø</v>
      </c>
      <c r="AI17" s="505" t="str">
        <f>Maaned!BH19</f>
        <v>Weekend</v>
      </c>
      <c r="AJ17" s="323" t="str">
        <f>Maaned!BI19</f>
        <v/>
      </c>
      <c r="AK17" s="311">
        <f>Maaned!BM19</f>
        <v>15</v>
      </c>
      <c r="AL17" s="301" t="str">
        <f>Maaned!BN19</f>
        <v>ma</v>
      </c>
      <c r="AM17" s="505" t="str">
        <f>Maaned!BO19</f>
        <v>Normal uge 1</v>
      </c>
      <c r="AN17" s="313">
        <f>Maaned!BP19</f>
        <v>20.142857142857142</v>
      </c>
      <c r="AO17" s="311">
        <f>Maaned!BT19</f>
        <v>15</v>
      </c>
      <c r="AP17" s="301" t="str">
        <f>Maaned!BU19</f>
        <v>to</v>
      </c>
      <c r="AQ17" s="505" t="str">
        <f>Maaned!BV19</f>
        <v>Normal uge 1</v>
      </c>
      <c r="AR17" s="323" t="str">
        <f>Maaned!BW19</f>
        <v/>
      </c>
      <c r="AS17" s="311">
        <f>Maaned!CA19</f>
        <v>15</v>
      </c>
      <c r="AT17" s="301" t="str">
        <f>Maaned!CB19</f>
        <v>lø</v>
      </c>
      <c r="AU17" s="505" t="str">
        <f>Maaned!CC19</f>
        <v>Weekend</v>
      </c>
      <c r="AV17" s="313" t="str">
        <f>Maaned!CD19</f>
        <v/>
      </c>
    </row>
    <row r="18" spans="1:48" ht="24" customHeight="1">
      <c r="A18" s="311">
        <f>Maaned!B20</f>
        <v>16</v>
      </c>
      <c r="B18" s="301" t="str">
        <f>Maaned!C20</f>
        <v>ti</v>
      </c>
      <c r="C18" s="302" t="str">
        <f>Maaned!D20</f>
        <v>Normal uge 1</v>
      </c>
      <c r="D18" s="312" t="str">
        <f>Maaned!E20</f>
        <v/>
      </c>
      <c r="E18" s="311">
        <f>Maaned!I20</f>
        <v>16</v>
      </c>
      <c r="F18" s="301" t="str">
        <f>Maaned!J20</f>
        <v>fr</v>
      </c>
      <c r="G18" s="505" t="str">
        <f>Maaned!K20</f>
        <v>Normal uge 1</v>
      </c>
      <c r="H18" s="323" t="str">
        <f>Maaned!L20</f>
        <v/>
      </c>
      <c r="I18" s="311">
        <f>Maaned!P20</f>
        <v>16</v>
      </c>
      <c r="J18" s="301" t="str">
        <f>Maaned!Q20</f>
        <v>sø</v>
      </c>
      <c r="K18" s="505" t="str">
        <f>Maaned!R20</f>
        <v>Weekend</v>
      </c>
      <c r="L18" s="330" t="str">
        <f>Maaned!S20</f>
        <v/>
      </c>
      <c r="M18" s="311">
        <f>Maaned!W20</f>
        <v>16</v>
      </c>
      <c r="N18" s="301" t="str">
        <f>Maaned!X20</f>
        <v>on</v>
      </c>
      <c r="O18" s="505" t="str">
        <f>Maaned!Y20</f>
        <v>Normal uge 1</v>
      </c>
      <c r="P18" s="323" t="str">
        <f>Maaned!Z20</f>
        <v/>
      </c>
      <c r="Q18" s="311">
        <f>Maaned!AD20</f>
        <v>16</v>
      </c>
      <c r="R18" s="301" t="str">
        <f>Maaned!AE20</f>
        <v>fr</v>
      </c>
      <c r="S18" s="505" t="str">
        <f>Maaned!AF20</f>
        <v>Normal uge 1</v>
      </c>
      <c r="T18" s="313" t="str">
        <f>Maaned!AG20</f>
        <v/>
      </c>
      <c r="U18" s="311">
        <f>Maaned!AK20</f>
        <v>16</v>
      </c>
      <c r="V18" s="301" t="str">
        <f>Maaned!AL20</f>
        <v>ma</v>
      </c>
      <c r="W18" s="505" t="str">
        <f>Maaned!AM20</f>
        <v>Normal uge 1</v>
      </c>
      <c r="X18" s="312">
        <f>Maaned!AN20</f>
        <v>3.1428571428571428</v>
      </c>
      <c r="Y18" s="311">
        <f>Maaned!AR20</f>
        <v>16</v>
      </c>
      <c r="Z18" s="301" t="str">
        <f>Maaned!AS20</f>
        <v>to</v>
      </c>
      <c r="AA18" s="505" t="str">
        <f>Maaned!AT20</f>
        <v>Normal uge 1</v>
      </c>
      <c r="AB18" s="322" t="str">
        <f>Maaned!AU20</f>
        <v/>
      </c>
      <c r="AC18" s="311">
        <f>Maaned!AY20</f>
        <v>16</v>
      </c>
      <c r="AD18" s="301" t="str">
        <f>Maaned!AZ20</f>
        <v>to</v>
      </c>
      <c r="AE18" s="505" t="str">
        <f>Maaned!BA20</f>
        <v>Normal uge 1</v>
      </c>
      <c r="AF18" s="313" t="str">
        <f>Maaned!BB20</f>
        <v/>
      </c>
      <c r="AG18" s="311">
        <f>Maaned!BF20</f>
        <v>16</v>
      </c>
      <c r="AH18" s="301" t="str">
        <f>Maaned!BG20</f>
        <v>sø</v>
      </c>
      <c r="AI18" s="505" t="str">
        <f>Maaned!BH20</f>
        <v>Weekend</v>
      </c>
      <c r="AJ18" s="323" t="str">
        <f>Maaned!BI20</f>
        <v/>
      </c>
      <c r="AK18" s="311">
        <f>Maaned!BM20</f>
        <v>16</v>
      </c>
      <c r="AL18" s="301" t="str">
        <f>Maaned!BN20</f>
        <v>ti</v>
      </c>
      <c r="AM18" s="505" t="str">
        <f>Maaned!BO20</f>
        <v>Normal uge 1</v>
      </c>
      <c r="AN18" s="313" t="str">
        <f>Maaned!BP20</f>
        <v/>
      </c>
      <c r="AO18" s="311">
        <f>Maaned!BT20</f>
        <v>16</v>
      </c>
      <c r="AP18" s="301" t="str">
        <f>Maaned!BU20</f>
        <v>fr</v>
      </c>
      <c r="AQ18" s="505" t="str">
        <f>Maaned!BV20</f>
        <v>Normal uge 1</v>
      </c>
      <c r="AR18" s="323" t="str">
        <f>Maaned!BW20</f>
        <v/>
      </c>
      <c r="AS18" s="311">
        <f>Maaned!CA20</f>
        <v>16</v>
      </c>
      <c r="AT18" s="301" t="str">
        <f>Maaned!CB20</f>
        <v>sø</v>
      </c>
      <c r="AU18" s="505" t="str">
        <f>Maaned!CC20</f>
        <v>Weekend</v>
      </c>
      <c r="AV18" s="313" t="str">
        <f>Maaned!CD20</f>
        <v/>
      </c>
    </row>
    <row r="19" spans="1:48" ht="24" customHeight="1">
      <c r="A19" s="311">
        <f>Maaned!B21</f>
        <v>17</v>
      </c>
      <c r="B19" s="301" t="str">
        <f>Maaned!C21</f>
        <v>on</v>
      </c>
      <c r="C19" s="302" t="str">
        <f>Maaned!D21</f>
        <v>Normal uge 1</v>
      </c>
      <c r="D19" s="312" t="str">
        <f>Maaned!E21</f>
        <v/>
      </c>
      <c r="E19" s="311">
        <f>Maaned!I21</f>
        <v>17</v>
      </c>
      <c r="F19" s="301" t="str">
        <f>Maaned!J21</f>
        <v>lø</v>
      </c>
      <c r="G19" s="505" t="str">
        <f>Maaned!K21</f>
        <v>Weekend</v>
      </c>
      <c r="H19" s="323" t="str">
        <f>Maaned!L21</f>
        <v/>
      </c>
      <c r="I19" s="311">
        <f>Maaned!P21</f>
        <v>17</v>
      </c>
      <c r="J19" s="301" t="str">
        <f>Maaned!Q21</f>
        <v>ma</v>
      </c>
      <c r="K19" s="505" t="str">
        <f>Maaned!R21</f>
        <v>Normal uge 1</v>
      </c>
      <c r="L19" s="330">
        <f>Maaned!S21</f>
        <v>42.285714285714285</v>
      </c>
      <c r="M19" s="311">
        <f>Maaned!W21</f>
        <v>17</v>
      </c>
      <c r="N19" s="301" t="str">
        <f>Maaned!X21</f>
        <v>to</v>
      </c>
      <c r="O19" s="505" t="str">
        <f>Maaned!Y21</f>
        <v>Normal uge 1</v>
      </c>
      <c r="P19" s="323" t="str">
        <f>Maaned!Z21</f>
        <v/>
      </c>
      <c r="Q19" s="311">
        <f>Maaned!AD21</f>
        <v>17</v>
      </c>
      <c r="R19" s="301" t="str">
        <f>Maaned!AE21</f>
        <v>lø</v>
      </c>
      <c r="S19" s="505" t="str">
        <f>Maaned!AF21</f>
        <v>Weekend</v>
      </c>
      <c r="T19" s="313" t="str">
        <f>Maaned!AG21</f>
        <v/>
      </c>
      <c r="U19" s="311">
        <f>Maaned!AK21</f>
        <v>17</v>
      </c>
      <c r="V19" s="301" t="str">
        <f>Maaned!AL21</f>
        <v>ti</v>
      </c>
      <c r="W19" s="505" t="str">
        <f>Maaned!AM21</f>
        <v>Normal uge 1</v>
      </c>
      <c r="X19" s="312" t="str">
        <f>Maaned!AN21</f>
        <v/>
      </c>
      <c r="Y19" s="311">
        <f>Maaned!AR21</f>
        <v>17</v>
      </c>
      <c r="Z19" s="301" t="str">
        <f>Maaned!AS21</f>
        <v>fr</v>
      </c>
      <c r="AA19" s="505" t="str">
        <f>Maaned!AT21</f>
        <v>Normal uge 1</v>
      </c>
      <c r="AB19" s="322" t="str">
        <f>Maaned!AU21</f>
        <v/>
      </c>
      <c r="AC19" s="311">
        <f>Maaned!AY21</f>
        <v>17</v>
      </c>
      <c r="AD19" s="301" t="str">
        <f>Maaned!AZ21</f>
        <v>fr</v>
      </c>
      <c r="AE19" s="505" t="str">
        <f>Maaned!BA21</f>
        <v>Normal uge 1</v>
      </c>
      <c r="AF19" s="313" t="str">
        <f>Maaned!BB21</f>
        <v/>
      </c>
      <c r="AG19" s="311">
        <f>Maaned!BF21</f>
        <v>17</v>
      </c>
      <c r="AH19" s="301" t="str">
        <f>Maaned!BG21</f>
        <v>ma</v>
      </c>
      <c r="AI19" s="505" t="str">
        <f>Maaned!BH21</f>
        <v>Normal uge 1</v>
      </c>
      <c r="AJ19" s="323">
        <f>Maaned!BI21</f>
        <v>16.142857142857142</v>
      </c>
      <c r="AK19" s="311">
        <f>Maaned!BM21</f>
        <v>17</v>
      </c>
      <c r="AL19" s="301" t="str">
        <f>Maaned!BN21</f>
        <v>on</v>
      </c>
      <c r="AM19" s="505" t="str">
        <f>Maaned!BO21</f>
        <v>Normal uge 1</v>
      </c>
      <c r="AN19" s="313" t="str">
        <f>Maaned!BP21</f>
        <v/>
      </c>
      <c r="AO19" s="311">
        <f>Maaned!BT21</f>
        <v>17</v>
      </c>
      <c r="AP19" s="301" t="str">
        <f>Maaned!BU21</f>
        <v>lø</v>
      </c>
      <c r="AQ19" s="505" t="str">
        <f>Maaned!BV21</f>
        <v>Weekend</v>
      </c>
      <c r="AR19" s="323" t="str">
        <f>Maaned!BW21</f>
        <v/>
      </c>
      <c r="AS19" s="311">
        <f>Maaned!CA21</f>
        <v>17</v>
      </c>
      <c r="AT19" s="301" t="str">
        <f>Maaned!CB21</f>
        <v>ma</v>
      </c>
      <c r="AU19" s="505" t="str">
        <f>Maaned!CC21</f>
        <v>Normal uge 1</v>
      </c>
      <c r="AV19" s="313">
        <f>Maaned!CD21</f>
        <v>29.142857142857142</v>
      </c>
    </row>
    <row r="20" spans="1:48" ht="24" customHeight="1">
      <c r="A20" s="311">
        <f>Maaned!B22</f>
        <v>18</v>
      </c>
      <c r="B20" s="301" t="str">
        <f>Maaned!C22</f>
        <v>to</v>
      </c>
      <c r="C20" s="302" t="str">
        <f>Maaned!D22</f>
        <v>Normal uge 1</v>
      </c>
      <c r="D20" s="312" t="str">
        <f>Maaned!E22</f>
        <v/>
      </c>
      <c r="E20" s="311">
        <f>Maaned!I22</f>
        <v>18</v>
      </c>
      <c r="F20" s="301" t="str">
        <f>Maaned!J22</f>
        <v>sø</v>
      </c>
      <c r="G20" s="505" t="str">
        <f>Maaned!K22</f>
        <v>Weekend</v>
      </c>
      <c r="H20" s="323" t="str">
        <f>Maaned!L22</f>
        <v/>
      </c>
      <c r="I20" s="311">
        <f>Maaned!P22</f>
        <v>18</v>
      </c>
      <c r="J20" s="301" t="str">
        <f>Maaned!Q22</f>
        <v>ti</v>
      </c>
      <c r="K20" s="505" t="str">
        <f>Maaned!R22</f>
        <v>Normal uge 1</v>
      </c>
      <c r="L20" s="330" t="str">
        <f>Maaned!S22</f>
        <v/>
      </c>
      <c r="M20" s="311">
        <f>Maaned!W22</f>
        <v>18</v>
      </c>
      <c r="N20" s="301" t="str">
        <f>Maaned!X22</f>
        <v>fr</v>
      </c>
      <c r="O20" s="505" t="str">
        <f>Maaned!Y22</f>
        <v>Normal uge 1</v>
      </c>
      <c r="P20" s="323" t="str">
        <f>Maaned!Z22</f>
        <v/>
      </c>
      <c r="Q20" s="311">
        <f>Maaned!AD22</f>
        <v>18</v>
      </c>
      <c r="R20" s="301" t="str">
        <f>Maaned!AE22</f>
        <v>sø</v>
      </c>
      <c r="S20" s="505" t="str">
        <f>Maaned!AF22</f>
        <v>Weekend</v>
      </c>
      <c r="T20" s="313" t="str">
        <f>Maaned!AG22</f>
        <v/>
      </c>
      <c r="U20" s="311">
        <f>Maaned!AK22</f>
        <v>18</v>
      </c>
      <c r="V20" s="301" t="str">
        <f>Maaned!AL22</f>
        <v>on</v>
      </c>
      <c r="W20" s="505" t="str">
        <f>Maaned!AM22</f>
        <v>Normal uge 1</v>
      </c>
      <c r="X20" s="312" t="str">
        <f>Maaned!AN22</f>
        <v/>
      </c>
      <c r="Y20" s="311">
        <f>Maaned!AR22</f>
        <v>18</v>
      </c>
      <c r="Z20" s="301" t="str">
        <f>Maaned!AS22</f>
        <v>lø</v>
      </c>
      <c r="AA20" s="505" t="str">
        <f>Maaned!AT22</f>
        <v>Weekend</v>
      </c>
      <c r="AB20" s="322" t="str">
        <f>Maaned!AU22</f>
        <v/>
      </c>
      <c r="AC20" s="311">
        <f>Maaned!AY22</f>
        <v>18</v>
      </c>
      <c r="AD20" s="301" t="str">
        <f>Maaned!AZ22</f>
        <v>lø</v>
      </c>
      <c r="AE20" s="505" t="str">
        <f>Maaned!BA22</f>
        <v>Weekend</v>
      </c>
      <c r="AF20" s="313" t="str">
        <f>Maaned!BB22</f>
        <v/>
      </c>
      <c r="AG20" s="311">
        <f>Maaned!BF22</f>
        <v>18</v>
      </c>
      <c r="AH20" s="301" t="str">
        <f>Maaned!BG22</f>
        <v>ti</v>
      </c>
      <c r="AI20" s="505" t="str">
        <f>Maaned!BH22</f>
        <v>Normal uge 1</v>
      </c>
      <c r="AJ20" s="323" t="str">
        <f>Maaned!BI22</f>
        <v/>
      </c>
      <c r="AK20" s="311">
        <f>Maaned!BM22</f>
        <v>18</v>
      </c>
      <c r="AL20" s="301" t="str">
        <f>Maaned!BN22</f>
        <v>to</v>
      </c>
      <c r="AM20" s="505" t="str">
        <f>Maaned!BO22</f>
        <v>SH-dag</v>
      </c>
      <c r="AN20" s="313" t="str">
        <f>Maaned!BP22</f>
        <v/>
      </c>
      <c r="AO20" s="311">
        <f>Maaned!BT22</f>
        <v>18</v>
      </c>
      <c r="AP20" s="301" t="str">
        <f>Maaned!BU22</f>
        <v>sø</v>
      </c>
      <c r="AQ20" s="505" t="str">
        <f>Maaned!BV22</f>
        <v>Weekend</v>
      </c>
      <c r="AR20" s="323" t="str">
        <f>Maaned!BW22</f>
        <v/>
      </c>
      <c r="AS20" s="311">
        <f>Maaned!CA22</f>
        <v>18</v>
      </c>
      <c r="AT20" s="301" t="str">
        <f>Maaned!CB22</f>
        <v>ti</v>
      </c>
      <c r="AU20" s="505" t="str">
        <f>Maaned!CC22</f>
        <v>Normal uge 1</v>
      </c>
      <c r="AV20" s="313" t="str">
        <f>Maaned!CD22</f>
        <v/>
      </c>
    </row>
    <row r="21" spans="1:48" ht="24" customHeight="1">
      <c r="A21" s="311">
        <f>Maaned!B23</f>
        <v>19</v>
      </c>
      <c r="B21" s="301" t="str">
        <f>Maaned!C23</f>
        <v>fr</v>
      </c>
      <c r="C21" s="302" t="str">
        <f>Maaned!D23</f>
        <v>Normal uge 1</v>
      </c>
      <c r="D21" s="312" t="str">
        <f>Maaned!E23</f>
        <v/>
      </c>
      <c r="E21" s="311">
        <f>Maaned!I23</f>
        <v>19</v>
      </c>
      <c r="F21" s="301" t="str">
        <f>Maaned!J23</f>
        <v>ma</v>
      </c>
      <c r="G21" s="505" t="str">
        <f>Maaned!K23</f>
        <v>Normal uge 1</v>
      </c>
      <c r="H21" s="323">
        <f>Maaned!L23</f>
        <v>38.285714285714285</v>
      </c>
      <c r="I21" s="311">
        <f>Maaned!P23</f>
        <v>19</v>
      </c>
      <c r="J21" s="301" t="str">
        <f>Maaned!Q23</f>
        <v>on</v>
      </c>
      <c r="K21" s="505" t="str">
        <f>Maaned!R23</f>
        <v>Normal uge 1</v>
      </c>
      <c r="L21" s="330" t="str">
        <f>Maaned!S23</f>
        <v/>
      </c>
      <c r="M21" s="311">
        <f>Maaned!W23</f>
        <v>19</v>
      </c>
      <c r="N21" s="301" t="str">
        <f>Maaned!X23</f>
        <v>lø</v>
      </c>
      <c r="O21" s="505" t="str">
        <f>Maaned!Y23</f>
        <v>Weekend</v>
      </c>
      <c r="P21" s="323" t="str">
        <f>Maaned!Z23</f>
        <v/>
      </c>
      <c r="Q21" s="311">
        <f>Maaned!AD23</f>
        <v>19</v>
      </c>
      <c r="R21" s="301" t="str">
        <f>Maaned!AE23</f>
        <v>ma</v>
      </c>
      <c r="S21" s="505" t="str">
        <f>Maaned!AF23</f>
        <v>Normal uge 1</v>
      </c>
      <c r="T21" s="313">
        <f>Maaned!AG23</f>
        <v>51.285714285714285</v>
      </c>
      <c r="U21" s="311">
        <f>Maaned!AK23</f>
        <v>19</v>
      </c>
      <c r="V21" s="301" t="str">
        <f>Maaned!AL23</f>
        <v>to</v>
      </c>
      <c r="W21" s="505" t="str">
        <f>Maaned!AM23</f>
        <v>Normal uge 1</v>
      </c>
      <c r="X21" s="312" t="str">
        <f>Maaned!AN23</f>
        <v/>
      </c>
      <c r="Y21" s="311">
        <f>Maaned!AR23</f>
        <v>19</v>
      </c>
      <c r="Z21" s="301" t="str">
        <f>Maaned!AS23</f>
        <v>sø</v>
      </c>
      <c r="AA21" s="505" t="str">
        <f>Maaned!AT23</f>
        <v>Weekend</v>
      </c>
      <c r="AB21" s="322" t="str">
        <f>Maaned!AU23</f>
        <v/>
      </c>
      <c r="AC21" s="311">
        <f>Maaned!AY23</f>
        <v>19</v>
      </c>
      <c r="AD21" s="301" t="str">
        <f>Maaned!AZ23</f>
        <v>sø</v>
      </c>
      <c r="AE21" s="505" t="str">
        <f>Maaned!BA23</f>
        <v>Weekend</v>
      </c>
      <c r="AF21" s="313" t="str">
        <f>Maaned!BB23</f>
        <v/>
      </c>
      <c r="AG21" s="311">
        <f>Maaned!BF23</f>
        <v>19</v>
      </c>
      <c r="AH21" s="301" t="str">
        <f>Maaned!BG23</f>
        <v>on</v>
      </c>
      <c r="AI21" s="505" t="str">
        <f>Maaned!BH23</f>
        <v>Normal uge 1</v>
      </c>
      <c r="AJ21" s="323" t="str">
        <f>Maaned!BI23</f>
        <v/>
      </c>
      <c r="AK21" s="311">
        <f>Maaned!BM23</f>
        <v>19</v>
      </c>
      <c r="AL21" s="301" t="str">
        <f>Maaned!BN23</f>
        <v>fr</v>
      </c>
      <c r="AM21" s="505" t="str">
        <f>Maaned!BO23</f>
        <v>Normal uge 1</v>
      </c>
      <c r="AN21" s="313" t="str">
        <f>Maaned!BP23</f>
        <v/>
      </c>
      <c r="AO21" s="311">
        <f>Maaned!BT23</f>
        <v>19</v>
      </c>
      <c r="AP21" s="301" t="str">
        <f>Maaned!BU23</f>
        <v>ma</v>
      </c>
      <c r="AQ21" s="505" t="str">
        <f>Maaned!BV23</f>
        <v>Normal uge 1</v>
      </c>
      <c r="AR21" s="323">
        <f>Maaned!BW23</f>
        <v>25.142857142857142</v>
      </c>
      <c r="AS21" s="311">
        <f>Maaned!CA23</f>
        <v>19</v>
      </c>
      <c r="AT21" s="301" t="str">
        <f>Maaned!CB23</f>
        <v>on</v>
      </c>
      <c r="AU21" s="505" t="str">
        <f>Maaned!CC23</f>
        <v>Normal uge 1</v>
      </c>
      <c r="AV21" s="313" t="str">
        <f>Maaned!CD23</f>
        <v/>
      </c>
    </row>
    <row r="22" spans="1:48" ht="24" customHeight="1">
      <c r="A22" s="311">
        <f>Maaned!B24</f>
        <v>20</v>
      </c>
      <c r="B22" s="301" t="str">
        <f>Maaned!C24</f>
        <v>lø</v>
      </c>
      <c r="C22" s="302" t="str">
        <f>Maaned!D24</f>
        <v>Weekend</v>
      </c>
      <c r="D22" s="313" t="str">
        <f>Maaned!E24</f>
        <v/>
      </c>
      <c r="E22" s="311">
        <f>Maaned!I24</f>
        <v>20</v>
      </c>
      <c r="F22" s="301" t="str">
        <f>Maaned!J24</f>
        <v>ti</v>
      </c>
      <c r="G22" s="505" t="str">
        <f>Maaned!K24</f>
        <v>Normal uge 1</v>
      </c>
      <c r="H22" s="323" t="str">
        <f>Maaned!L24</f>
        <v/>
      </c>
      <c r="I22" s="311">
        <f>Maaned!P24</f>
        <v>20</v>
      </c>
      <c r="J22" s="301" t="str">
        <f>Maaned!Q24</f>
        <v>to</v>
      </c>
      <c r="K22" s="505" t="str">
        <f>Maaned!R24</f>
        <v>Normal uge 1</v>
      </c>
      <c r="L22" s="330" t="str">
        <f>Maaned!S24</f>
        <v/>
      </c>
      <c r="M22" s="311">
        <f>Maaned!W24</f>
        <v>20</v>
      </c>
      <c r="N22" s="301" t="str">
        <f>Maaned!X24</f>
        <v>sø</v>
      </c>
      <c r="O22" s="505" t="str">
        <f>Maaned!Y24</f>
        <v>Weekend</v>
      </c>
      <c r="P22" s="323" t="str">
        <f>Maaned!Z24</f>
        <v/>
      </c>
      <c r="Q22" s="311">
        <f>Maaned!AD24</f>
        <v>20</v>
      </c>
      <c r="R22" s="301" t="str">
        <f>Maaned!AE24</f>
        <v>ti</v>
      </c>
      <c r="S22" s="505" t="str">
        <f>Maaned!AF24</f>
        <v>Normal uge 1</v>
      </c>
      <c r="T22" s="313" t="str">
        <f>Maaned!AG24</f>
        <v/>
      </c>
      <c r="U22" s="311">
        <f>Maaned!AK24</f>
        <v>20</v>
      </c>
      <c r="V22" s="301" t="str">
        <f>Maaned!AL24</f>
        <v>fr</v>
      </c>
      <c r="W22" s="505" t="str">
        <f>Maaned!AM24</f>
        <v>Normal uge 1</v>
      </c>
      <c r="X22" s="312" t="str">
        <f>Maaned!AN24</f>
        <v/>
      </c>
      <c r="Y22" s="311">
        <f>Maaned!AR24</f>
        <v>20</v>
      </c>
      <c r="Z22" s="301" t="str">
        <f>Maaned!AS24</f>
        <v>ma</v>
      </c>
      <c r="AA22" s="505" t="str">
        <f>Maaned!AT24</f>
        <v>Normal uge 1</v>
      </c>
      <c r="AB22" s="322">
        <f>Maaned!AU24</f>
        <v>8.1428571428571423</v>
      </c>
      <c r="AC22" s="311">
        <f>Maaned!AY24</f>
        <v>20</v>
      </c>
      <c r="AD22" s="301" t="str">
        <f>Maaned!AZ24</f>
        <v>ma</v>
      </c>
      <c r="AE22" s="505" t="str">
        <f>Maaned!BA24</f>
        <v>Normal uge 1</v>
      </c>
      <c r="AF22" s="313">
        <f>Maaned!BB24</f>
        <v>12.142857142857142</v>
      </c>
      <c r="AG22" s="311">
        <f>Maaned!BF24</f>
        <v>20</v>
      </c>
      <c r="AH22" s="301" t="str">
        <f>Maaned!BG24</f>
        <v>to</v>
      </c>
      <c r="AI22" s="505" t="str">
        <f>Maaned!BH24</f>
        <v>Normal uge 1</v>
      </c>
      <c r="AJ22" s="323" t="str">
        <f>Maaned!BI24</f>
        <v/>
      </c>
      <c r="AK22" s="311">
        <f>Maaned!BM24</f>
        <v>20</v>
      </c>
      <c r="AL22" s="301" t="str">
        <f>Maaned!BN24</f>
        <v>lø</v>
      </c>
      <c r="AM22" s="505" t="str">
        <f>Maaned!BO24</f>
        <v>Weekend</v>
      </c>
      <c r="AN22" s="313" t="str">
        <f>Maaned!BP24</f>
        <v/>
      </c>
      <c r="AO22" s="311">
        <f>Maaned!BT24</f>
        <v>20</v>
      </c>
      <c r="AP22" s="301" t="str">
        <f>Maaned!BU24</f>
        <v>ti</v>
      </c>
      <c r="AQ22" s="505" t="str">
        <f>Maaned!BV24</f>
        <v>Normal uge 1</v>
      </c>
      <c r="AR22" s="323" t="str">
        <f>Maaned!BW24</f>
        <v/>
      </c>
      <c r="AS22" s="311">
        <f>Maaned!CA24</f>
        <v>20</v>
      </c>
      <c r="AT22" s="301" t="str">
        <f>Maaned!CB24</f>
        <v>to</v>
      </c>
      <c r="AU22" s="505" t="str">
        <f>Maaned!CC24</f>
        <v>Normal uge 1</v>
      </c>
      <c r="AV22" s="313" t="str">
        <f>Maaned!CD24</f>
        <v/>
      </c>
    </row>
    <row r="23" spans="1:48" ht="24" customHeight="1">
      <c r="A23" s="311">
        <f>Maaned!B25</f>
        <v>21</v>
      </c>
      <c r="B23" s="301" t="str">
        <f>Maaned!C25</f>
        <v>sø</v>
      </c>
      <c r="C23" s="302" t="str">
        <f>Maaned!D25</f>
        <v>Weekend</v>
      </c>
      <c r="D23" s="313" t="str">
        <f>Maaned!E25</f>
        <v/>
      </c>
      <c r="E23" s="311">
        <f>Maaned!I25</f>
        <v>21</v>
      </c>
      <c r="F23" s="301" t="str">
        <f>Maaned!J25</f>
        <v>on</v>
      </c>
      <c r="G23" s="505" t="str">
        <f>Maaned!K25</f>
        <v>Normal uge 1</v>
      </c>
      <c r="H23" s="323" t="str">
        <f>Maaned!L25</f>
        <v/>
      </c>
      <c r="I23" s="311">
        <f>Maaned!P25</f>
        <v>21</v>
      </c>
      <c r="J23" s="301" t="str">
        <f>Maaned!Q25</f>
        <v>fr</v>
      </c>
      <c r="K23" s="505" t="str">
        <f>Maaned!R25</f>
        <v>Normal uge 1</v>
      </c>
      <c r="L23" s="330" t="str">
        <f>Maaned!S25</f>
        <v/>
      </c>
      <c r="M23" s="311">
        <f>Maaned!W25</f>
        <v>21</v>
      </c>
      <c r="N23" s="301" t="str">
        <f>Maaned!X25</f>
        <v>ma</v>
      </c>
      <c r="O23" s="505" t="str">
        <f>Maaned!Y25</f>
        <v>Normal uge 1</v>
      </c>
      <c r="P23" s="323">
        <f>Maaned!Z25</f>
        <v>47.285714285714285</v>
      </c>
      <c r="Q23" s="311">
        <f>Maaned!AD25</f>
        <v>21</v>
      </c>
      <c r="R23" s="301" t="str">
        <f>Maaned!AE25</f>
        <v>on</v>
      </c>
      <c r="S23" s="505" t="str">
        <f>Maaned!AF25</f>
        <v>Normal uge 1</v>
      </c>
      <c r="T23" s="313" t="str">
        <f>Maaned!AG25</f>
        <v/>
      </c>
      <c r="U23" s="311">
        <f>Maaned!AK25</f>
        <v>21</v>
      </c>
      <c r="V23" s="301" t="str">
        <f>Maaned!AL25</f>
        <v>lø</v>
      </c>
      <c r="W23" s="505" t="str">
        <f>Maaned!AM25</f>
        <v>Weekend</v>
      </c>
      <c r="X23" s="312" t="str">
        <f>Maaned!AN25</f>
        <v/>
      </c>
      <c r="Y23" s="311">
        <f>Maaned!AR25</f>
        <v>21</v>
      </c>
      <c r="Z23" s="301" t="str">
        <f>Maaned!AS25</f>
        <v>ti</v>
      </c>
      <c r="AA23" s="505" t="str">
        <f>Maaned!AT25</f>
        <v>Normal uge 1</v>
      </c>
      <c r="AB23" s="322" t="str">
        <f>Maaned!AU25</f>
        <v/>
      </c>
      <c r="AC23" s="311">
        <f>Maaned!AY25</f>
        <v>21</v>
      </c>
      <c r="AD23" s="301" t="str">
        <f>Maaned!AZ25</f>
        <v>ti</v>
      </c>
      <c r="AE23" s="505" t="str">
        <f>Maaned!BA25</f>
        <v>Normal uge 1</v>
      </c>
      <c r="AF23" s="313" t="str">
        <f>Maaned!BB25</f>
        <v/>
      </c>
      <c r="AG23" s="311">
        <f>Maaned!BF25</f>
        <v>21</v>
      </c>
      <c r="AH23" s="301" t="str">
        <f>Maaned!BG25</f>
        <v>fr</v>
      </c>
      <c r="AI23" s="505" t="str">
        <f>Maaned!BH25</f>
        <v>Normal uge 1</v>
      </c>
      <c r="AJ23" s="323" t="str">
        <f>Maaned!BI25</f>
        <v/>
      </c>
      <c r="AK23" s="311">
        <f>Maaned!BM25</f>
        <v>21</v>
      </c>
      <c r="AL23" s="301" t="str">
        <f>Maaned!BN25</f>
        <v>sø</v>
      </c>
      <c r="AM23" s="505" t="str">
        <f>Maaned!BO25</f>
        <v>Weekend</v>
      </c>
      <c r="AN23" s="313" t="str">
        <f>Maaned!BP25</f>
        <v/>
      </c>
      <c r="AO23" s="311">
        <f>Maaned!BT25</f>
        <v>21</v>
      </c>
      <c r="AP23" s="301" t="str">
        <f>Maaned!BU25</f>
        <v>on</v>
      </c>
      <c r="AQ23" s="505" t="str">
        <f>Maaned!BV25</f>
        <v>Normal uge 1</v>
      </c>
      <c r="AR23" s="323" t="str">
        <f>Maaned!BW25</f>
        <v/>
      </c>
      <c r="AS23" s="311">
        <f>Maaned!CA25</f>
        <v>21</v>
      </c>
      <c r="AT23" s="301" t="str">
        <f>Maaned!CB25</f>
        <v>fr</v>
      </c>
      <c r="AU23" s="505" t="str">
        <f>Maaned!CC25</f>
        <v>Normal uge 1</v>
      </c>
      <c r="AV23" s="313" t="str">
        <f>Maaned!CD25</f>
        <v/>
      </c>
    </row>
    <row r="24" spans="1:48" ht="24" customHeight="1">
      <c r="A24" s="311">
        <f>Maaned!B26</f>
        <v>22</v>
      </c>
      <c r="B24" s="301" t="str">
        <f>Maaned!C26</f>
        <v>ma</v>
      </c>
      <c r="C24" s="302" t="str">
        <f>Maaned!D26</f>
        <v>Normal uge 1</v>
      </c>
      <c r="D24" s="313">
        <f>Maaned!E26</f>
        <v>34.285714285714285</v>
      </c>
      <c r="E24" s="311">
        <f>Maaned!I26</f>
        <v>22</v>
      </c>
      <c r="F24" s="301" t="str">
        <f>Maaned!J26</f>
        <v>to</v>
      </c>
      <c r="G24" s="505" t="str">
        <f>Maaned!K26</f>
        <v>Normal uge 1</v>
      </c>
      <c r="H24" s="323" t="str">
        <f>Maaned!L26</f>
        <v/>
      </c>
      <c r="I24" s="311">
        <f>Maaned!P26</f>
        <v>22</v>
      </c>
      <c r="J24" s="301" t="str">
        <f>Maaned!Q26</f>
        <v>lø</v>
      </c>
      <c r="K24" s="505" t="str">
        <f>Maaned!R26</f>
        <v>Weekend</v>
      </c>
      <c r="L24" s="330" t="str">
        <f>Maaned!S26</f>
        <v/>
      </c>
      <c r="M24" s="311">
        <f>Maaned!W26</f>
        <v>22</v>
      </c>
      <c r="N24" s="301" t="str">
        <f>Maaned!X26</f>
        <v>ti</v>
      </c>
      <c r="O24" s="505" t="str">
        <f>Maaned!Y26</f>
        <v>Normal uge 1</v>
      </c>
      <c r="P24" s="323" t="str">
        <f>Maaned!Z26</f>
        <v/>
      </c>
      <c r="Q24" s="311">
        <f>Maaned!AD26</f>
        <v>22</v>
      </c>
      <c r="R24" s="301" t="str">
        <f>Maaned!AE26</f>
        <v>to</v>
      </c>
      <c r="S24" s="505" t="str">
        <f>Maaned!AF26</f>
        <v>Normal uge 1</v>
      </c>
      <c r="T24" s="313" t="str">
        <f>Maaned!AG26</f>
        <v/>
      </c>
      <c r="U24" s="311">
        <f>Maaned!AK26</f>
        <v>22</v>
      </c>
      <c r="V24" s="301" t="str">
        <f>Maaned!AL26</f>
        <v>sø</v>
      </c>
      <c r="W24" s="505" t="str">
        <f>Maaned!AM26</f>
        <v>Weekend</v>
      </c>
      <c r="X24" s="312" t="str">
        <f>Maaned!AN26</f>
        <v/>
      </c>
      <c r="Y24" s="311">
        <f>Maaned!AR26</f>
        <v>22</v>
      </c>
      <c r="Z24" s="301" t="str">
        <f>Maaned!AS26</f>
        <v>on</v>
      </c>
      <c r="AA24" s="505" t="str">
        <f>Maaned!AT26</f>
        <v>Normal uge 1</v>
      </c>
      <c r="AB24" s="322" t="str">
        <f>Maaned!AU26</f>
        <v/>
      </c>
      <c r="AC24" s="311">
        <f>Maaned!AY26</f>
        <v>22</v>
      </c>
      <c r="AD24" s="301" t="str">
        <f>Maaned!AZ26</f>
        <v>on</v>
      </c>
      <c r="AE24" s="505" t="str">
        <f>Maaned!BA26</f>
        <v>Normal uge 1</v>
      </c>
      <c r="AF24" s="313" t="str">
        <f>Maaned!BB26</f>
        <v/>
      </c>
      <c r="AG24" s="311">
        <f>Maaned!BF26</f>
        <v>22</v>
      </c>
      <c r="AH24" s="301" t="str">
        <f>Maaned!BG26</f>
        <v>lø</v>
      </c>
      <c r="AI24" s="505" t="str">
        <f>Maaned!BH26</f>
        <v>Weekend</v>
      </c>
      <c r="AJ24" s="323" t="str">
        <f>Maaned!BI26</f>
        <v/>
      </c>
      <c r="AK24" s="311">
        <f>Maaned!BM26</f>
        <v>22</v>
      </c>
      <c r="AL24" s="301" t="str">
        <f>Maaned!BN26</f>
        <v>ma</v>
      </c>
      <c r="AM24" s="505" t="str">
        <f>Maaned!BO26</f>
        <v>Normal uge 1</v>
      </c>
      <c r="AN24" s="313">
        <f>Maaned!BP26</f>
        <v>21.142857142857142</v>
      </c>
      <c r="AO24" s="311">
        <f>Maaned!BT26</f>
        <v>22</v>
      </c>
      <c r="AP24" s="301" t="str">
        <f>Maaned!BU26</f>
        <v>to</v>
      </c>
      <c r="AQ24" s="505" t="str">
        <f>Maaned!BV26</f>
        <v>Normal uge 1</v>
      </c>
      <c r="AR24" s="323" t="str">
        <f>Maaned!BW26</f>
        <v/>
      </c>
      <c r="AS24" s="311">
        <f>Maaned!CA26</f>
        <v>22</v>
      </c>
      <c r="AT24" s="301" t="str">
        <f>Maaned!CB26</f>
        <v>lø</v>
      </c>
      <c r="AU24" s="505" t="str">
        <f>Maaned!CC26</f>
        <v>Weekend</v>
      </c>
      <c r="AV24" s="313" t="str">
        <f>Maaned!CD26</f>
        <v/>
      </c>
    </row>
    <row r="25" spans="1:48" ht="24" customHeight="1">
      <c r="A25" s="311">
        <f>Maaned!B27</f>
        <v>23</v>
      </c>
      <c r="B25" s="301" t="str">
        <f>Maaned!C27</f>
        <v>ti</v>
      </c>
      <c r="C25" s="302" t="str">
        <f>Maaned!D27</f>
        <v>Normal uge 1</v>
      </c>
      <c r="D25" s="313" t="str">
        <f>Maaned!E27</f>
        <v/>
      </c>
      <c r="E25" s="311">
        <f>Maaned!I27</f>
        <v>23</v>
      </c>
      <c r="F25" s="301" t="str">
        <f>Maaned!J27</f>
        <v>fr</v>
      </c>
      <c r="G25" s="505" t="str">
        <f>Maaned!K27</f>
        <v>Normal uge 1</v>
      </c>
      <c r="H25" s="323" t="str">
        <f>Maaned!L27</f>
        <v/>
      </c>
      <c r="I25" s="311">
        <f>Maaned!P27</f>
        <v>23</v>
      </c>
      <c r="J25" s="301" t="str">
        <f>Maaned!Q27</f>
        <v>sø</v>
      </c>
      <c r="K25" s="505" t="str">
        <f>Maaned!R27</f>
        <v>Weekend</v>
      </c>
      <c r="L25" s="330" t="str">
        <f>Maaned!S27</f>
        <v/>
      </c>
      <c r="M25" s="311">
        <f>Maaned!W27</f>
        <v>23</v>
      </c>
      <c r="N25" s="301" t="str">
        <f>Maaned!X27</f>
        <v>on</v>
      </c>
      <c r="O25" s="505" t="str">
        <f>Maaned!Y27</f>
        <v>Normal uge 1</v>
      </c>
      <c r="P25" s="323" t="str">
        <f>Maaned!Z27</f>
        <v/>
      </c>
      <c r="Q25" s="311">
        <f>Maaned!AD27</f>
        <v>23</v>
      </c>
      <c r="R25" s="301" t="str">
        <f>Maaned!AE27</f>
        <v>fr</v>
      </c>
      <c r="S25" s="505" t="str">
        <f>Maaned!AF27</f>
        <v>Normal uge 1</v>
      </c>
      <c r="T25" s="313" t="str">
        <f>Maaned!AG27</f>
        <v/>
      </c>
      <c r="U25" s="311">
        <f>Maaned!AK27</f>
        <v>23</v>
      </c>
      <c r="V25" s="301" t="str">
        <f>Maaned!AL27</f>
        <v>ma</v>
      </c>
      <c r="W25" s="505" t="str">
        <f>Maaned!AM27</f>
        <v>Normal uge 1</v>
      </c>
      <c r="X25" s="312">
        <f>Maaned!AN27</f>
        <v>4.1428571428571432</v>
      </c>
      <c r="Y25" s="311">
        <f>Maaned!AR27</f>
        <v>23</v>
      </c>
      <c r="Z25" s="301" t="str">
        <f>Maaned!AS27</f>
        <v>to</v>
      </c>
      <c r="AA25" s="505" t="str">
        <f>Maaned!AT27</f>
        <v>Normal uge 1</v>
      </c>
      <c r="AB25" s="322" t="str">
        <f>Maaned!AU27</f>
        <v/>
      </c>
      <c r="AC25" s="311">
        <f>Maaned!AY27</f>
        <v>23</v>
      </c>
      <c r="AD25" s="301" t="str">
        <f>Maaned!AZ27</f>
        <v>to</v>
      </c>
      <c r="AE25" s="505" t="str">
        <f>Maaned!BA27</f>
        <v>Normal uge 1</v>
      </c>
      <c r="AF25" s="313" t="str">
        <f>Maaned!BB27</f>
        <v/>
      </c>
      <c r="AG25" s="311">
        <f>Maaned!BF27</f>
        <v>23</v>
      </c>
      <c r="AH25" s="301" t="str">
        <f>Maaned!BG27</f>
        <v>sø</v>
      </c>
      <c r="AI25" s="505" t="str">
        <f>Maaned!BH27</f>
        <v>Weekend</v>
      </c>
      <c r="AJ25" s="323" t="str">
        <f>Maaned!BI27</f>
        <v/>
      </c>
      <c r="AK25" s="311">
        <f>Maaned!BM27</f>
        <v>23</v>
      </c>
      <c r="AL25" s="301" t="str">
        <f>Maaned!BN27</f>
        <v>ti</v>
      </c>
      <c r="AM25" s="505" t="str">
        <f>Maaned!BO27</f>
        <v>Normal uge 1</v>
      </c>
      <c r="AN25" s="313" t="str">
        <f>Maaned!BP27</f>
        <v/>
      </c>
      <c r="AO25" s="311">
        <f>Maaned!BT27</f>
        <v>23</v>
      </c>
      <c r="AP25" s="301" t="str">
        <f>Maaned!BU27</f>
        <v>fr</v>
      </c>
      <c r="AQ25" s="505" t="str">
        <f>Maaned!BV27</f>
        <v>Normal uge 1</v>
      </c>
      <c r="AR25" s="323" t="str">
        <f>Maaned!BW27</f>
        <v/>
      </c>
      <c r="AS25" s="311">
        <f>Maaned!CA27</f>
        <v>23</v>
      </c>
      <c r="AT25" s="301" t="str">
        <f>Maaned!CB27</f>
        <v>sø</v>
      </c>
      <c r="AU25" s="505" t="str">
        <f>Maaned!CC27</f>
        <v>Weekend</v>
      </c>
      <c r="AV25" s="313" t="str">
        <f>Maaned!CD27</f>
        <v/>
      </c>
    </row>
    <row r="26" spans="1:48" ht="24" customHeight="1">
      <c r="A26" s="311">
        <f>Maaned!B28</f>
        <v>24</v>
      </c>
      <c r="B26" s="301" t="str">
        <f>Maaned!C28</f>
        <v>on</v>
      </c>
      <c r="C26" s="302" t="str">
        <f>Maaned!D28</f>
        <v>Normal uge 1</v>
      </c>
      <c r="D26" s="313" t="str">
        <f>Maaned!E28</f>
        <v/>
      </c>
      <c r="E26" s="311">
        <f>Maaned!I28</f>
        <v>24</v>
      </c>
      <c r="F26" s="301" t="str">
        <f>Maaned!J28</f>
        <v>lø</v>
      </c>
      <c r="G26" s="505" t="str">
        <f>Maaned!K28</f>
        <v>Weekend</v>
      </c>
      <c r="H26" s="323" t="str">
        <f>Maaned!L28</f>
        <v/>
      </c>
      <c r="I26" s="311">
        <f>Maaned!P28</f>
        <v>24</v>
      </c>
      <c r="J26" s="301" t="str">
        <f>Maaned!Q28</f>
        <v>ma</v>
      </c>
      <c r="K26" s="505" t="str">
        <f>Maaned!R28</f>
        <v>Normal uge 1</v>
      </c>
      <c r="L26" s="330">
        <f>Maaned!S28</f>
        <v>43.285714285714285</v>
      </c>
      <c r="M26" s="311">
        <f>Maaned!W28</f>
        <v>24</v>
      </c>
      <c r="N26" s="301" t="str">
        <f>Maaned!X28</f>
        <v>to</v>
      </c>
      <c r="O26" s="505" t="str">
        <f>Maaned!Y28</f>
        <v>Normal uge 1</v>
      </c>
      <c r="P26" s="323" t="str">
        <f>Maaned!Z28</f>
        <v/>
      </c>
      <c r="Q26" s="311">
        <f>Maaned!AD28</f>
        <v>24</v>
      </c>
      <c r="R26" s="301" t="str">
        <f>Maaned!AE28</f>
        <v>lø</v>
      </c>
      <c r="S26" s="505" t="str">
        <f>Maaned!AF28</f>
        <v>Weekend</v>
      </c>
      <c r="T26" s="313" t="str">
        <f>Maaned!AG28</f>
        <v/>
      </c>
      <c r="U26" s="311">
        <f>Maaned!AK28</f>
        <v>24</v>
      </c>
      <c r="V26" s="301" t="str">
        <f>Maaned!AL28</f>
        <v>ti</v>
      </c>
      <c r="W26" s="505" t="str">
        <f>Maaned!AM28</f>
        <v>Normal uge 1</v>
      </c>
      <c r="X26" s="312" t="str">
        <f>Maaned!AN28</f>
        <v/>
      </c>
      <c r="Y26" s="311">
        <f>Maaned!AR28</f>
        <v>24</v>
      </c>
      <c r="Z26" s="301" t="str">
        <f>Maaned!AS28</f>
        <v>fr</v>
      </c>
      <c r="AA26" s="505" t="str">
        <f>Maaned!AT28</f>
        <v>Normal uge 1</v>
      </c>
      <c r="AB26" s="322" t="str">
        <f>Maaned!AU28</f>
        <v/>
      </c>
      <c r="AC26" s="311">
        <f>Maaned!AY28</f>
        <v>24</v>
      </c>
      <c r="AD26" s="301" t="str">
        <f>Maaned!AZ28</f>
        <v>fr</v>
      </c>
      <c r="AE26" s="505" t="str">
        <f>Maaned!BA28</f>
        <v>Normal uge 1</v>
      </c>
      <c r="AF26" s="313" t="str">
        <f>Maaned!BB28</f>
        <v/>
      </c>
      <c r="AG26" s="311">
        <f>Maaned!BF28</f>
        <v>24</v>
      </c>
      <c r="AH26" s="301" t="str">
        <f>Maaned!BG28</f>
        <v>ma</v>
      </c>
      <c r="AI26" s="505" t="str">
        <f>Maaned!BH28</f>
        <v>Normal uge 1</v>
      </c>
      <c r="AJ26" s="323">
        <f>Maaned!BI28</f>
        <v>17.142857142857142</v>
      </c>
      <c r="AK26" s="311">
        <f>Maaned!BM28</f>
        <v>24</v>
      </c>
      <c r="AL26" s="301" t="str">
        <f>Maaned!BN28</f>
        <v>on</v>
      </c>
      <c r="AM26" s="505" t="str">
        <f>Maaned!BO28</f>
        <v>Normal uge 1</v>
      </c>
      <c r="AN26" s="313" t="str">
        <f>Maaned!BP28</f>
        <v/>
      </c>
      <c r="AO26" s="311">
        <f>Maaned!BT28</f>
        <v>24</v>
      </c>
      <c r="AP26" s="301" t="str">
        <f>Maaned!BU28</f>
        <v>lø</v>
      </c>
      <c r="AQ26" s="505" t="str">
        <f>Maaned!BV28</f>
        <v>Weekend</v>
      </c>
      <c r="AR26" s="323" t="str">
        <f>Maaned!BW28</f>
        <v/>
      </c>
      <c r="AS26" s="311">
        <f>Maaned!CA28</f>
        <v>24</v>
      </c>
      <c r="AT26" s="301" t="str">
        <f>Maaned!CB28</f>
        <v>ma</v>
      </c>
      <c r="AU26" s="505" t="str">
        <f>Maaned!CC28</f>
        <v>Normal uge 1</v>
      </c>
      <c r="AV26" s="313">
        <f>Maaned!CD28</f>
        <v>30.142857142857142</v>
      </c>
    </row>
    <row r="27" spans="1:48" ht="24" customHeight="1">
      <c r="A27" s="311">
        <f>Maaned!B29</f>
        <v>25</v>
      </c>
      <c r="B27" s="301" t="str">
        <f>Maaned!C29</f>
        <v>to</v>
      </c>
      <c r="C27" s="302" t="str">
        <f>Maaned!D29</f>
        <v>Normal uge 1</v>
      </c>
      <c r="D27" s="313" t="str">
        <f>Maaned!E29</f>
        <v/>
      </c>
      <c r="E27" s="311">
        <f>Maaned!I29</f>
        <v>25</v>
      </c>
      <c r="F27" s="301" t="str">
        <f>Maaned!J29</f>
        <v>sø</v>
      </c>
      <c r="G27" s="505" t="str">
        <f>Maaned!K29</f>
        <v>Weekend</v>
      </c>
      <c r="H27" s="323" t="str">
        <f>Maaned!L29</f>
        <v/>
      </c>
      <c r="I27" s="311">
        <f>Maaned!P29</f>
        <v>25</v>
      </c>
      <c r="J27" s="301" t="str">
        <f>Maaned!Q29</f>
        <v>ti</v>
      </c>
      <c r="K27" s="505" t="str">
        <f>Maaned!R29</f>
        <v>Normal uge 1</v>
      </c>
      <c r="L27" s="330" t="str">
        <f>Maaned!S29</f>
        <v/>
      </c>
      <c r="M27" s="311">
        <f>Maaned!W29</f>
        <v>25</v>
      </c>
      <c r="N27" s="301" t="str">
        <f>Maaned!X29</f>
        <v>fr</v>
      </c>
      <c r="O27" s="505" t="str">
        <f>Maaned!Y29</f>
        <v>Normal uge 1</v>
      </c>
      <c r="P27" s="323" t="str">
        <f>Maaned!Z29</f>
        <v/>
      </c>
      <c r="Q27" s="311">
        <f>Maaned!AD29</f>
        <v>25</v>
      </c>
      <c r="R27" s="301" t="str">
        <f>Maaned!AE29</f>
        <v>sø</v>
      </c>
      <c r="S27" s="505" t="str">
        <f>Maaned!AF29</f>
        <v>Weekend</v>
      </c>
      <c r="T27" s="313" t="str">
        <f>Maaned!AG29</f>
        <v/>
      </c>
      <c r="U27" s="311">
        <f>Maaned!AK29</f>
        <v>25</v>
      </c>
      <c r="V27" s="301" t="str">
        <f>Maaned!AL29</f>
        <v>on</v>
      </c>
      <c r="W27" s="505" t="str">
        <f>Maaned!AM29</f>
        <v>Normal uge 1</v>
      </c>
      <c r="X27" s="312" t="str">
        <f>Maaned!AN29</f>
        <v/>
      </c>
      <c r="Y27" s="311">
        <f>Maaned!AR29</f>
        <v>25</v>
      </c>
      <c r="Z27" s="301" t="str">
        <f>Maaned!AS29</f>
        <v>lø</v>
      </c>
      <c r="AA27" s="505" t="str">
        <f>Maaned!AT29</f>
        <v>Weekend</v>
      </c>
      <c r="AB27" s="322" t="str">
        <f>Maaned!AU29</f>
        <v/>
      </c>
      <c r="AC27" s="311">
        <f>Maaned!AY29</f>
        <v>25</v>
      </c>
      <c r="AD27" s="301" t="str">
        <f>Maaned!AZ29</f>
        <v>lø</v>
      </c>
      <c r="AE27" s="505" t="str">
        <f>Maaned!BA29</f>
        <v>Weekend</v>
      </c>
      <c r="AF27" s="313" t="str">
        <f>Maaned!BB29</f>
        <v/>
      </c>
      <c r="AG27" s="311">
        <f>Maaned!BF29</f>
        <v>25</v>
      </c>
      <c r="AH27" s="301" t="str">
        <f>Maaned!BG29</f>
        <v>ti</v>
      </c>
      <c r="AI27" s="505" t="str">
        <f>Maaned!BH29</f>
        <v>Normal uge 1</v>
      </c>
      <c r="AJ27" s="323" t="str">
        <f>Maaned!BI29</f>
        <v/>
      </c>
      <c r="AK27" s="311">
        <f>Maaned!BM29</f>
        <v>25</v>
      </c>
      <c r="AL27" s="301" t="str">
        <f>Maaned!BN29</f>
        <v>to</v>
      </c>
      <c r="AM27" s="505" t="str">
        <f>Maaned!BO29</f>
        <v>Normal uge 1</v>
      </c>
      <c r="AN27" s="313" t="str">
        <f>Maaned!BP29</f>
        <v/>
      </c>
      <c r="AO27" s="311">
        <f>Maaned!BT29</f>
        <v>25</v>
      </c>
      <c r="AP27" s="301" t="str">
        <f>Maaned!BU29</f>
        <v>sø</v>
      </c>
      <c r="AQ27" s="505" t="str">
        <f>Maaned!BV29</f>
        <v>Weekend</v>
      </c>
      <c r="AR27" s="323" t="str">
        <f>Maaned!BW29</f>
        <v/>
      </c>
      <c r="AS27" s="311">
        <f>Maaned!CA29</f>
        <v>25</v>
      </c>
      <c r="AT27" s="301" t="str">
        <f>Maaned!CB29</f>
        <v>ti</v>
      </c>
      <c r="AU27" s="505" t="str">
        <f>Maaned!CC29</f>
        <v>Normal uge 1</v>
      </c>
      <c r="AV27" s="313" t="str">
        <f>Maaned!CD29</f>
        <v/>
      </c>
    </row>
    <row r="28" spans="1:48" ht="24" customHeight="1">
      <c r="A28" s="311">
        <f>Maaned!B30</f>
        <v>26</v>
      </c>
      <c r="B28" s="301" t="str">
        <f>Maaned!C30</f>
        <v>fr</v>
      </c>
      <c r="C28" s="302" t="str">
        <f>Maaned!D30</f>
        <v>Normal uge 1</v>
      </c>
      <c r="D28" s="313" t="str">
        <f>Maaned!E30</f>
        <v/>
      </c>
      <c r="E28" s="311">
        <f>Maaned!I30</f>
        <v>26</v>
      </c>
      <c r="F28" s="301" t="str">
        <f>Maaned!J30</f>
        <v>ma</v>
      </c>
      <c r="G28" s="505" t="str">
        <f>Maaned!K30</f>
        <v>Normal uge 1</v>
      </c>
      <c r="H28" s="323">
        <f>Maaned!L30</f>
        <v>39.285714285714285</v>
      </c>
      <c r="I28" s="311">
        <f>Maaned!P30</f>
        <v>26</v>
      </c>
      <c r="J28" s="301" t="str">
        <f>Maaned!Q30</f>
        <v>on</v>
      </c>
      <c r="K28" s="505" t="str">
        <f>Maaned!R30</f>
        <v>Normal uge 1</v>
      </c>
      <c r="L28" s="330" t="str">
        <f>Maaned!S30</f>
        <v/>
      </c>
      <c r="M28" s="311">
        <f>Maaned!W30</f>
        <v>26</v>
      </c>
      <c r="N28" s="301" t="str">
        <f>Maaned!X30</f>
        <v>lø</v>
      </c>
      <c r="O28" s="505" t="str">
        <f>Maaned!Y30</f>
        <v>Weekend</v>
      </c>
      <c r="P28" s="323" t="str">
        <f>Maaned!Z30</f>
        <v/>
      </c>
      <c r="Q28" s="311">
        <f>Maaned!AD30</f>
        <v>26</v>
      </c>
      <c r="R28" s="301" t="str">
        <f>Maaned!AE30</f>
        <v>ma</v>
      </c>
      <c r="S28" s="505" t="str">
        <f>Maaned!AF30</f>
        <v>SH-dag</v>
      </c>
      <c r="T28" s="313">
        <f>Maaned!AG30</f>
        <v>52.285714285714285</v>
      </c>
      <c r="U28" s="311">
        <f>Maaned!AK30</f>
        <v>26</v>
      </c>
      <c r="V28" s="301" t="str">
        <f>Maaned!AL30</f>
        <v>to</v>
      </c>
      <c r="W28" s="505" t="str">
        <f>Maaned!AM30</f>
        <v>Normal uge 1</v>
      </c>
      <c r="X28" s="312" t="str">
        <f>Maaned!AN30</f>
        <v/>
      </c>
      <c r="Y28" s="311">
        <f>Maaned!AR30</f>
        <v>26</v>
      </c>
      <c r="Z28" s="301" t="str">
        <f>Maaned!AS30</f>
        <v>sø</v>
      </c>
      <c r="AA28" s="505" t="str">
        <f>Maaned!AT30</f>
        <v>Weekend</v>
      </c>
      <c r="AB28" s="322" t="str">
        <f>Maaned!AU30</f>
        <v/>
      </c>
      <c r="AC28" s="311">
        <f>Maaned!AY30</f>
        <v>26</v>
      </c>
      <c r="AD28" s="301" t="str">
        <f>Maaned!AZ30</f>
        <v>sø</v>
      </c>
      <c r="AE28" s="505" t="str">
        <f>Maaned!BA30</f>
        <v>Weekend</v>
      </c>
      <c r="AF28" s="313" t="str">
        <f>Maaned!BB30</f>
        <v/>
      </c>
      <c r="AG28" s="311">
        <f>Maaned!BF30</f>
        <v>26</v>
      </c>
      <c r="AH28" s="301" t="str">
        <f>Maaned!BG30</f>
        <v>on</v>
      </c>
      <c r="AI28" s="505" t="str">
        <f>Maaned!BH30</f>
        <v>Normal uge 1</v>
      </c>
      <c r="AJ28" s="323" t="str">
        <f>Maaned!BI30</f>
        <v/>
      </c>
      <c r="AK28" s="311">
        <f>Maaned!BM30</f>
        <v>26</v>
      </c>
      <c r="AL28" s="301" t="str">
        <f>Maaned!BN30</f>
        <v>fr</v>
      </c>
      <c r="AM28" s="505" t="str">
        <f>Maaned!BO30</f>
        <v>Normal uge 1</v>
      </c>
      <c r="AN28" s="313" t="str">
        <f>Maaned!BP30</f>
        <v/>
      </c>
      <c r="AO28" s="311">
        <f>Maaned!BT30</f>
        <v>26</v>
      </c>
      <c r="AP28" s="301" t="str">
        <f>Maaned!BU30</f>
        <v>ma</v>
      </c>
      <c r="AQ28" s="505" t="str">
        <f>Maaned!BV30</f>
        <v>Normal uge 1</v>
      </c>
      <c r="AR28" s="323">
        <f>Maaned!BW30</f>
        <v>26.142857142857142</v>
      </c>
      <c r="AS28" s="311">
        <f>Maaned!CA30</f>
        <v>26</v>
      </c>
      <c r="AT28" s="301" t="str">
        <f>Maaned!CB30</f>
        <v>on</v>
      </c>
      <c r="AU28" s="505" t="str">
        <f>Maaned!CC30</f>
        <v>Normal uge 1</v>
      </c>
      <c r="AV28" s="313" t="str">
        <f>Maaned!CD30</f>
        <v/>
      </c>
    </row>
    <row r="29" spans="1:48" ht="24" customHeight="1">
      <c r="A29" s="311">
        <f>Maaned!B31</f>
        <v>27</v>
      </c>
      <c r="B29" s="301" t="str">
        <f>Maaned!C31</f>
        <v>lø</v>
      </c>
      <c r="C29" s="302" t="str">
        <f>Maaned!D31</f>
        <v>Weekend</v>
      </c>
      <c r="D29" s="313" t="str">
        <f>Maaned!E31</f>
        <v/>
      </c>
      <c r="E29" s="311">
        <f>Maaned!I31</f>
        <v>27</v>
      </c>
      <c r="F29" s="301" t="str">
        <f>Maaned!J31</f>
        <v>ti</v>
      </c>
      <c r="G29" s="505" t="str">
        <f>Maaned!K31</f>
        <v>Normal uge 1</v>
      </c>
      <c r="H29" s="323" t="str">
        <f>Maaned!L31</f>
        <v/>
      </c>
      <c r="I29" s="311">
        <f>Maaned!P31</f>
        <v>27</v>
      </c>
      <c r="J29" s="301" t="str">
        <f>Maaned!Q31</f>
        <v>to</v>
      </c>
      <c r="K29" s="505" t="str">
        <f>Maaned!R31</f>
        <v>Normal uge 1</v>
      </c>
      <c r="L29" s="330" t="str">
        <f>Maaned!S31</f>
        <v/>
      </c>
      <c r="M29" s="311">
        <f>Maaned!W31</f>
        <v>27</v>
      </c>
      <c r="N29" s="301" t="str">
        <f>Maaned!X31</f>
        <v>sø</v>
      </c>
      <c r="O29" s="505" t="str">
        <f>Maaned!Y31</f>
        <v>Weekend</v>
      </c>
      <c r="P29" s="323" t="str">
        <f>Maaned!Z31</f>
        <v/>
      </c>
      <c r="Q29" s="311">
        <f>Maaned!AD31</f>
        <v>27</v>
      </c>
      <c r="R29" s="301" t="str">
        <f>Maaned!AE31</f>
        <v>ti</v>
      </c>
      <c r="S29" s="505" t="str">
        <f>Maaned!AF31</f>
        <v>Normal uge 1</v>
      </c>
      <c r="T29" s="313" t="str">
        <f>Maaned!AG31</f>
        <v/>
      </c>
      <c r="U29" s="311">
        <f>Maaned!AK31</f>
        <v>27</v>
      </c>
      <c r="V29" s="301" t="str">
        <f>Maaned!AL31</f>
        <v>fr</v>
      </c>
      <c r="W29" s="505" t="str">
        <f>Maaned!AM31</f>
        <v>Normal uge 1</v>
      </c>
      <c r="X29" s="312" t="str">
        <f>Maaned!AN31</f>
        <v/>
      </c>
      <c r="Y29" s="311">
        <f>Maaned!AR31</f>
        <v>27</v>
      </c>
      <c r="Z29" s="301" t="str">
        <f>Maaned!AS31</f>
        <v>ma</v>
      </c>
      <c r="AA29" s="505" t="str">
        <f>Maaned!AT31</f>
        <v>Normal uge 1</v>
      </c>
      <c r="AB29" s="322">
        <f>Maaned!AU31</f>
        <v>9.1428571428571423</v>
      </c>
      <c r="AC29" s="311">
        <f>Maaned!AY31</f>
        <v>27</v>
      </c>
      <c r="AD29" s="301" t="str">
        <f>Maaned!AZ31</f>
        <v>ma</v>
      </c>
      <c r="AE29" s="505" t="str">
        <f>Maaned!BA31</f>
        <v>Normal uge 1</v>
      </c>
      <c r="AF29" s="313">
        <f>Maaned!BB31</f>
        <v>13.142857142857142</v>
      </c>
      <c r="AG29" s="311">
        <f>Maaned!BF31</f>
        <v>27</v>
      </c>
      <c r="AH29" s="301" t="str">
        <f>Maaned!BG31</f>
        <v>to</v>
      </c>
      <c r="AI29" s="505" t="str">
        <f>Maaned!BH31</f>
        <v>Normal uge 1</v>
      </c>
      <c r="AJ29" s="323" t="str">
        <f>Maaned!BI31</f>
        <v/>
      </c>
      <c r="AK29" s="311">
        <f>Maaned!BM31</f>
        <v>27</v>
      </c>
      <c r="AL29" s="301" t="str">
        <f>Maaned!BN31</f>
        <v>lø</v>
      </c>
      <c r="AM29" s="505" t="str">
        <f>Maaned!BO31</f>
        <v>Weekend</v>
      </c>
      <c r="AN29" s="313" t="str">
        <f>Maaned!BP31</f>
        <v/>
      </c>
      <c r="AO29" s="311">
        <f>Maaned!BT31</f>
        <v>27</v>
      </c>
      <c r="AP29" s="301" t="str">
        <f>Maaned!BU31</f>
        <v>ti</v>
      </c>
      <c r="AQ29" s="505" t="str">
        <f>Maaned!BV31</f>
        <v>Normal uge 1</v>
      </c>
      <c r="AR29" s="323" t="str">
        <f>Maaned!BW31</f>
        <v/>
      </c>
      <c r="AS29" s="311">
        <f>Maaned!CA31</f>
        <v>27</v>
      </c>
      <c r="AT29" s="301" t="str">
        <f>Maaned!CB31</f>
        <v>to</v>
      </c>
      <c r="AU29" s="505" t="str">
        <f>Maaned!CC31</f>
        <v>Normal uge 1</v>
      </c>
      <c r="AV29" s="313" t="str">
        <f>Maaned!CD31</f>
        <v/>
      </c>
    </row>
    <row r="30" spans="1:48" ht="24" customHeight="1">
      <c r="A30" s="311">
        <f>Maaned!B32</f>
        <v>28</v>
      </c>
      <c r="B30" s="301" t="str">
        <f>Maaned!C32</f>
        <v>sø</v>
      </c>
      <c r="C30" s="302" t="str">
        <f>Maaned!D32</f>
        <v>Weekend</v>
      </c>
      <c r="D30" s="313" t="str">
        <f>Maaned!E32</f>
        <v/>
      </c>
      <c r="E30" s="311">
        <f>Maaned!I32</f>
        <v>28</v>
      </c>
      <c r="F30" s="301" t="str">
        <f>Maaned!J32</f>
        <v>on</v>
      </c>
      <c r="G30" s="505" t="str">
        <f>Maaned!K32</f>
        <v>Normal uge 1</v>
      </c>
      <c r="H30" s="323" t="str">
        <f>Maaned!L32</f>
        <v/>
      </c>
      <c r="I30" s="311">
        <f>Maaned!P32</f>
        <v>28</v>
      </c>
      <c r="J30" s="301" t="str">
        <f>Maaned!Q32</f>
        <v>fr</v>
      </c>
      <c r="K30" s="505" t="str">
        <f>Maaned!R32</f>
        <v>Normal uge 1</v>
      </c>
      <c r="L30" s="330" t="str">
        <f>Maaned!S32</f>
        <v/>
      </c>
      <c r="M30" s="311">
        <f>Maaned!W32</f>
        <v>28</v>
      </c>
      <c r="N30" s="301" t="str">
        <f>Maaned!X32</f>
        <v>ma</v>
      </c>
      <c r="O30" s="505" t="str">
        <f>Maaned!Y32</f>
        <v>Normal uge 1</v>
      </c>
      <c r="P30" s="323">
        <f>Maaned!Z32</f>
        <v>48.285714285714285</v>
      </c>
      <c r="Q30" s="311">
        <f>Maaned!AD32</f>
        <v>28</v>
      </c>
      <c r="R30" s="301" t="str">
        <f>Maaned!AE32</f>
        <v>on</v>
      </c>
      <c r="S30" s="505" t="str">
        <f>Maaned!AF32</f>
        <v>Normal uge 1</v>
      </c>
      <c r="T30" s="313" t="str">
        <f>Maaned!AG32</f>
        <v/>
      </c>
      <c r="U30" s="311">
        <f>Maaned!AK32</f>
        <v>28</v>
      </c>
      <c r="V30" s="301" t="str">
        <f>Maaned!AL32</f>
        <v>lø</v>
      </c>
      <c r="W30" s="505" t="str">
        <f>Maaned!AM32</f>
        <v>Weekend</v>
      </c>
      <c r="X30" s="312" t="str">
        <f>Maaned!AN32</f>
        <v/>
      </c>
      <c r="Y30" s="311">
        <f>Maaned!AR32</f>
        <v>28</v>
      </c>
      <c r="Z30" s="301" t="str">
        <f>Maaned!AS32</f>
        <v>ti</v>
      </c>
      <c r="AA30" s="505" t="str">
        <f>Maaned!AT32</f>
        <v>Normal uge 1</v>
      </c>
      <c r="AB30" s="312" t="str">
        <f>Maaned!AU32</f>
        <v/>
      </c>
      <c r="AC30" s="311">
        <f>Maaned!AY32</f>
        <v>28</v>
      </c>
      <c r="AD30" s="301" t="str">
        <f>Maaned!AZ32</f>
        <v>ti</v>
      </c>
      <c r="AE30" s="505" t="str">
        <f>Maaned!BA32</f>
        <v>Normal uge 1</v>
      </c>
      <c r="AF30" s="313" t="str">
        <f>Maaned!BB32</f>
        <v/>
      </c>
      <c r="AG30" s="311">
        <f>Maaned!BF32</f>
        <v>28</v>
      </c>
      <c r="AH30" s="301" t="str">
        <f>Maaned!BG32</f>
        <v>fr</v>
      </c>
      <c r="AI30" s="505" t="str">
        <f>Maaned!BH32</f>
        <v>Normal uge 1</v>
      </c>
      <c r="AJ30" s="323" t="str">
        <f>Maaned!BI32</f>
        <v/>
      </c>
      <c r="AK30" s="311">
        <f>Maaned!BM32</f>
        <v>28</v>
      </c>
      <c r="AL30" s="301" t="str">
        <f>Maaned!BN32</f>
        <v>sø</v>
      </c>
      <c r="AM30" s="505" t="str">
        <f>Maaned!BO32</f>
        <v>Weekend</v>
      </c>
      <c r="AN30" s="313" t="str">
        <f>Maaned!BP32</f>
        <v/>
      </c>
      <c r="AO30" s="311">
        <f>Maaned!BT32</f>
        <v>28</v>
      </c>
      <c r="AP30" s="301" t="str">
        <f>Maaned!BU32</f>
        <v>on</v>
      </c>
      <c r="AQ30" s="505" t="str">
        <f>Maaned!BV32</f>
        <v>Normal uge 1</v>
      </c>
      <c r="AR30" s="323" t="str">
        <f>Maaned!BW32</f>
        <v/>
      </c>
      <c r="AS30" s="311">
        <f>Maaned!CA32</f>
        <v>28</v>
      </c>
      <c r="AT30" s="301" t="str">
        <f>Maaned!CB32</f>
        <v>fr</v>
      </c>
      <c r="AU30" s="505" t="str">
        <f>Maaned!CC32</f>
        <v>Normal uge 1</v>
      </c>
      <c r="AV30" s="313" t="str">
        <f>Maaned!CD32</f>
        <v/>
      </c>
    </row>
    <row r="31" spans="1:48" ht="24" customHeight="1">
      <c r="A31" s="311">
        <f>Maaned!B33</f>
        <v>29</v>
      </c>
      <c r="B31" s="301" t="str">
        <f>Maaned!C33</f>
        <v>ma</v>
      </c>
      <c r="C31" s="302" t="str">
        <f>Maaned!D33</f>
        <v>Normal uge 1</v>
      </c>
      <c r="D31" s="312">
        <f>Maaned!E33</f>
        <v>35.285714285714285</v>
      </c>
      <c r="E31" s="311">
        <f>Maaned!I33</f>
        <v>29</v>
      </c>
      <c r="F31" s="301" t="str">
        <f>Maaned!J33</f>
        <v>to</v>
      </c>
      <c r="G31" s="505" t="str">
        <f>Maaned!K33</f>
        <v>Normal uge 1</v>
      </c>
      <c r="H31" s="323" t="str">
        <f>Maaned!L33</f>
        <v/>
      </c>
      <c r="I31" s="311">
        <f>Maaned!P33</f>
        <v>29</v>
      </c>
      <c r="J31" s="301" t="str">
        <f>Maaned!Q33</f>
        <v>lø</v>
      </c>
      <c r="K31" s="505" t="str">
        <f>Maaned!R33</f>
        <v>Weekend</v>
      </c>
      <c r="L31" s="330" t="str">
        <f>Maaned!S33</f>
        <v/>
      </c>
      <c r="M31" s="311">
        <f>Maaned!W33</f>
        <v>29</v>
      </c>
      <c r="N31" s="301" t="str">
        <f>Maaned!X33</f>
        <v>ti</v>
      </c>
      <c r="O31" s="505" t="str">
        <f>Maaned!Y33</f>
        <v>Normal uge 1</v>
      </c>
      <c r="P31" s="323" t="str">
        <f>Maaned!Z33</f>
        <v/>
      </c>
      <c r="Q31" s="311">
        <f>Maaned!AD33</f>
        <v>29</v>
      </c>
      <c r="R31" s="301" t="str">
        <f>Maaned!AE33</f>
        <v>to</v>
      </c>
      <c r="S31" s="505" t="str">
        <f>Maaned!AF33</f>
        <v>Normal uge 1</v>
      </c>
      <c r="T31" s="313" t="str">
        <f>Maaned!AG33</f>
        <v/>
      </c>
      <c r="U31" s="311">
        <f>Maaned!AK33</f>
        <v>29</v>
      </c>
      <c r="V31" s="301" t="str">
        <f>Maaned!AL33</f>
        <v>sø</v>
      </c>
      <c r="W31" s="505" t="str">
        <f>Maaned!AM33</f>
        <v>Weekend</v>
      </c>
      <c r="X31" s="312" t="str">
        <f>Maaned!AN33</f>
        <v/>
      </c>
      <c r="Y31" s="560">
        <f>Maaned!AR33</f>
        <v>0</v>
      </c>
      <c r="Z31" s="561">
        <f>Maaned!AS33</f>
        <v>0</v>
      </c>
      <c r="AA31" s="562">
        <f>Maaned!AT33</f>
        <v>0</v>
      </c>
      <c r="AB31" s="563">
        <f>Maaned!AU33</f>
        <v>0</v>
      </c>
      <c r="AC31" s="311">
        <f>Maaned!AY33</f>
        <v>29</v>
      </c>
      <c r="AD31" s="301" t="str">
        <f>Maaned!AZ33</f>
        <v>on</v>
      </c>
      <c r="AE31" s="505" t="str">
        <f>Maaned!BA33</f>
        <v>Normal uge 1</v>
      </c>
      <c r="AF31" s="313" t="str">
        <f>Maaned!BB33</f>
        <v/>
      </c>
      <c r="AG31" s="311">
        <f>Maaned!BF33</f>
        <v>29</v>
      </c>
      <c r="AH31" s="301" t="str">
        <f>Maaned!BG33</f>
        <v>lø</v>
      </c>
      <c r="AI31" s="505" t="str">
        <f>Maaned!BH33</f>
        <v>Weekend</v>
      </c>
      <c r="AJ31" s="323" t="str">
        <f>Maaned!BI33</f>
        <v/>
      </c>
      <c r="AK31" s="311">
        <f>Maaned!BM33</f>
        <v>29</v>
      </c>
      <c r="AL31" s="301" t="str">
        <f>Maaned!BN33</f>
        <v>ma</v>
      </c>
      <c r="AM31" s="505" t="str">
        <f>Maaned!BO33</f>
        <v>SH-dag</v>
      </c>
      <c r="AN31" s="313">
        <f>Maaned!BP33</f>
        <v>22.142857142857142</v>
      </c>
      <c r="AO31" s="311">
        <f>Maaned!BT33</f>
        <v>29</v>
      </c>
      <c r="AP31" s="301" t="str">
        <f>Maaned!BU33</f>
        <v>to</v>
      </c>
      <c r="AQ31" s="505" t="str">
        <f>Maaned!BV33</f>
        <v>Normal uge 1</v>
      </c>
      <c r="AR31" s="323" t="str">
        <f>Maaned!BW33</f>
        <v/>
      </c>
      <c r="AS31" s="311">
        <f>Maaned!CA33</f>
        <v>29</v>
      </c>
      <c r="AT31" s="301" t="str">
        <f>Maaned!CB33</f>
        <v>lø</v>
      </c>
      <c r="AU31" s="505" t="str">
        <f>Maaned!CC33</f>
        <v>Weekend</v>
      </c>
      <c r="AV31" s="313" t="str">
        <f>Maaned!CD33</f>
        <v/>
      </c>
    </row>
    <row r="32" spans="1:48" ht="24" customHeight="1">
      <c r="A32" s="311">
        <f>Maaned!B34</f>
        <v>30</v>
      </c>
      <c r="B32" s="301" t="str">
        <f>Maaned!C34</f>
        <v>ti</v>
      </c>
      <c r="C32" s="302" t="str">
        <f>Maaned!D34</f>
        <v>Normal uge 1</v>
      </c>
      <c r="D32" s="312" t="str">
        <f>Maaned!E34</f>
        <v/>
      </c>
      <c r="E32" s="314">
        <f>Maaned!I34</f>
        <v>30</v>
      </c>
      <c r="F32" s="315" t="str">
        <f>Maaned!J34</f>
        <v>fr</v>
      </c>
      <c r="G32" s="506" t="str">
        <f>Maaned!K34</f>
        <v>Normal uge 1</v>
      </c>
      <c r="H32" s="326" t="str">
        <f>Maaned!L34</f>
        <v/>
      </c>
      <c r="I32" s="311">
        <f>Maaned!P34</f>
        <v>30</v>
      </c>
      <c r="J32" s="301" t="str">
        <f>Maaned!Q34</f>
        <v>sø</v>
      </c>
      <c r="K32" s="505" t="str">
        <f>Maaned!R34</f>
        <v>Weekend</v>
      </c>
      <c r="L32" s="330" t="str">
        <f>Maaned!S34</f>
        <v/>
      </c>
      <c r="M32" s="314">
        <f>Maaned!W34</f>
        <v>30</v>
      </c>
      <c r="N32" s="315" t="str">
        <f>Maaned!X34</f>
        <v>on</v>
      </c>
      <c r="O32" s="506" t="str">
        <f>Maaned!Y34</f>
        <v>Normal uge 1</v>
      </c>
      <c r="P32" s="326" t="str">
        <f>Maaned!Z34</f>
        <v/>
      </c>
      <c r="Q32" s="311">
        <f>Maaned!AD34</f>
        <v>30</v>
      </c>
      <c r="R32" s="301" t="str">
        <f>Maaned!AE34</f>
        <v>fr</v>
      </c>
      <c r="S32" s="505" t="str">
        <f>Maaned!AF34</f>
        <v>Normal uge 1</v>
      </c>
      <c r="T32" s="313" t="str">
        <f>Maaned!AG34</f>
        <v/>
      </c>
      <c r="U32" s="311">
        <f>Maaned!AK34</f>
        <v>30</v>
      </c>
      <c r="V32" s="301" t="str">
        <f>Maaned!AL34</f>
        <v>ma</v>
      </c>
      <c r="W32" s="505" t="str">
        <f>Maaned!AM34</f>
        <v>Normal uge 1</v>
      </c>
      <c r="X32" s="312">
        <f>Maaned!AN34</f>
        <v>5.1428571428571432</v>
      </c>
      <c r="Y32" s="298">
        <f>Maaned!AR34</f>
        <v>0</v>
      </c>
      <c r="Z32" s="298">
        <f>Maaned!AS34</f>
        <v>0</v>
      </c>
      <c r="AA32" s="298">
        <f>Maaned!AT34</f>
        <v>0</v>
      </c>
      <c r="AB32" s="298">
        <f>Maaned!AU34</f>
        <v>0</v>
      </c>
      <c r="AC32" s="311">
        <f>Maaned!AY34</f>
        <v>30</v>
      </c>
      <c r="AD32" s="301" t="str">
        <f>Maaned!AZ34</f>
        <v>to</v>
      </c>
      <c r="AE32" s="505" t="str">
        <f>Maaned!BA34</f>
        <v>Normal uge 1</v>
      </c>
      <c r="AF32" s="313" t="str">
        <f>Maaned!BB34</f>
        <v/>
      </c>
      <c r="AG32" s="314">
        <f>Maaned!BF34</f>
        <v>30</v>
      </c>
      <c r="AH32" s="315" t="str">
        <f>Maaned!BG34</f>
        <v>sø</v>
      </c>
      <c r="AI32" s="506" t="str">
        <f>Maaned!BH34</f>
        <v>Weekend</v>
      </c>
      <c r="AJ32" s="326" t="str">
        <f>Maaned!BI34</f>
        <v/>
      </c>
      <c r="AK32" s="311">
        <f>Maaned!BM34</f>
        <v>30</v>
      </c>
      <c r="AL32" s="301" t="str">
        <f>Maaned!BN34</f>
        <v>ti</v>
      </c>
      <c r="AM32" s="505" t="str">
        <f>Maaned!BO34</f>
        <v>Normal uge 1</v>
      </c>
      <c r="AN32" s="313" t="str">
        <f>Maaned!BP34</f>
        <v/>
      </c>
      <c r="AO32" s="314">
        <f>Maaned!BT34</f>
        <v>30</v>
      </c>
      <c r="AP32" s="315" t="str">
        <f>Maaned!BU34</f>
        <v>fr</v>
      </c>
      <c r="AQ32" s="506" t="str">
        <f>Maaned!BV34</f>
        <v>Normal uge 1</v>
      </c>
      <c r="AR32" s="326" t="str">
        <f>Maaned!BW34</f>
        <v/>
      </c>
      <c r="AS32" s="311">
        <f>Maaned!CA34</f>
        <v>30</v>
      </c>
      <c r="AT32" s="301" t="str">
        <f>Maaned!CB34</f>
        <v>sø</v>
      </c>
      <c r="AU32" s="505" t="str">
        <f>Maaned!CC34</f>
        <v>Weekend</v>
      </c>
      <c r="AV32" s="313" t="str">
        <f>Maaned!CD34</f>
        <v/>
      </c>
    </row>
    <row r="33" spans="1:48" ht="24" customHeight="1">
      <c r="A33" s="314">
        <f>Maaned!B35</f>
        <v>31</v>
      </c>
      <c r="B33" s="315" t="str">
        <f>Maaned!C35</f>
        <v>on</v>
      </c>
      <c r="C33" s="316" t="str">
        <f>Maaned!D35</f>
        <v>Normal uge 1</v>
      </c>
      <c r="D33" s="317" t="str">
        <f>Maaned!E35</f>
        <v/>
      </c>
      <c r="E33" s="298"/>
      <c r="F33" s="298"/>
      <c r="G33" s="299"/>
      <c r="H33" s="300"/>
      <c r="I33" s="314">
        <f>Maaned!P35</f>
        <v>31</v>
      </c>
      <c r="J33" s="315" t="str">
        <f>Maaned!Q35</f>
        <v>ma</v>
      </c>
      <c r="K33" s="506" t="str">
        <f>Maaned!R35</f>
        <v>Normal uge 1</v>
      </c>
      <c r="L33" s="331">
        <f>Maaned!S35</f>
        <v>44.285714285714285</v>
      </c>
      <c r="M33" s="298">
        <f>Maaned!W35</f>
        <v>0</v>
      </c>
      <c r="N33" s="298">
        <f>Maaned!X35</f>
        <v>0</v>
      </c>
      <c r="O33" s="298">
        <f>Maaned!Y35</f>
        <v>0</v>
      </c>
      <c r="P33" s="300">
        <f>Maaned!Z35</f>
        <v>0</v>
      </c>
      <c r="Q33" s="314">
        <f>Maaned!AD35</f>
        <v>31</v>
      </c>
      <c r="R33" s="315" t="str">
        <f>Maaned!AE35</f>
        <v>lø</v>
      </c>
      <c r="S33" s="506" t="str">
        <f>Maaned!AF35</f>
        <v>Weekend</v>
      </c>
      <c r="T33" s="321" t="str">
        <f>Maaned!AG35</f>
        <v/>
      </c>
      <c r="U33" s="314">
        <f>Maaned!AK35</f>
        <v>31</v>
      </c>
      <c r="V33" s="315" t="str">
        <f>Maaned!AL35</f>
        <v>ti</v>
      </c>
      <c r="W33" s="506" t="str">
        <f>Maaned!AM35</f>
        <v>Normal uge 1</v>
      </c>
      <c r="X33" s="317" t="str">
        <f>Maaned!AN35</f>
        <v/>
      </c>
      <c r="Y33" s="298">
        <f>Maaned!AR35</f>
        <v>0</v>
      </c>
      <c r="Z33" s="298">
        <f>Maaned!AS35</f>
        <v>0</v>
      </c>
      <c r="AA33" s="298">
        <f>Maaned!AT35</f>
        <v>0</v>
      </c>
      <c r="AB33" s="298">
        <f>Maaned!AU35</f>
        <v>0</v>
      </c>
      <c r="AC33" s="314">
        <f>Maaned!AY35</f>
        <v>31</v>
      </c>
      <c r="AD33" s="315" t="str">
        <f>Maaned!AZ35</f>
        <v>fr</v>
      </c>
      <c r="AE33" s="506" t="str">
        <f>Maaned!BA35</f>
        <v>Normal uge 1</v>
      </c>
      <c r="AF33" s="321" t="str">
        <f>Maaned!BB35</f>
        <v/>
      </c>
      <c r="AG33" s="298">
        <f>Maaned!BF35</f>
        <v>0</v>
      </c>
      <c r="AH33" s="298">
        <f>Maaned!BG35</f>
        <v>0</v>
      </c>
      <c r="AI33" s="298">
        <f>Maaned!BH35</f>
        <v>0</v>
      </c>
      <c r="AJ33" s="300">
        <f>Maaned!BI35</f>
        <v>0</v>
      </c>
      <c r="AK33" s="314">
        <f>Maaned!BM35</f>
        <v>31</v>
      </c>
      <c r="AL33" s="315" t="str">
        <f>Maaned!BN35</f>
        <v>on</v>
      </c>
      <c r="AM33" s="506" t="str">
        <f>Maaned!BO35</f>
        <v>Normal uge 1</v>
      </c>
      <c r="AN33" s="321" t="str">
        <f>Maaned!BP35</f>
        <v/>
      </c>
      <c r="AO33" s="298">
        <f>Maaned!BT35</f>
        <v>0</v>
      </c>
      <c r="AP33" s="298">
        <f>Maaned!BU35</f>
        <v>0</v>
      </c>
      <c r="AQ33" s="298">
        <f>Maaned!BV35</f>
        <v>0</v>
      </c>
      <c r="AR33" s="300">
        <f>Maaned!BW35</f>
        <v>0</v>
      </c>
      <c r="AS33" s="314">
        <f>Maaned!CA35</f>
        <v>31</v>
      </c>
      <c r="AT33" s="315" t="str">
        <f>Maaned!CB35</f>
        <v>ma</v>
      </c>
      <c r="AU33" s="506" t="str">
        <f>Maaned!CC35</f>
        <v>Normal uge 1</v>
      </c>
      <c r="AV33" s="321">
        <f>Maaned!CD35</f>
        <v>31.142857142857142</v>
      </c>
    </row>
    <row r="34" spans="1:48" ht="13">
      <c r="A34" s="235"/>
      <c r="B34" s="235">
        <v>22</v>
      </c>
      <c r="C34" s="194" t="s">
        <v>76</v>
      </c>
      <c r="D34" s="235"/>
      <c r="E34" s="194"/>
      <c r="F34" s="194">
        <v>21</v>
      </c>
      <c r="G34" s="194" t="s">
        <v>76</v>
      </c>
      <c r="H34" s="194"/>
      <c r="I34" s="235"/>
      <c r="J34" s="235">
        <v>23</v>
      </c>
      <c r="K34" s="235" t="s">
        <v>76</v>
      </c>
      <c r="L34" s="297"/>
      <c r="M34" s="194"/>
      <c r="N34" s="194">
        <v>21</v>
      </c>
      <c r="O34" s="194" t="s">
        <v>76</v>
      </c>
      <c r="P34" s="194"/>
      <c r="Q34" s="235"/>
      <c r="R34" s="235">
        <v>20</v>
      </c>
      <c r="S34" s="235" t="s">
        <v>76</v>
      </c>
      <c r="T34" s="235"/>
      <c r="U34" s="236"/>
      <c r="V34" s="236">
        <v>22</v>
      </c>
      <c r="W34" s="235" t="s">
        <v>76</v>
      </c>
      <c r="X34" s="237"/>
      <c r="Y34" s="194"/>
      <c r="Z34" s="194">
        <v>20</v>
      </c>
      <c r="AA34" s="194" t="s">
        <v>76</v>
      </c>
      <c r="AB34" s="194"/>
      <c r="AC34" s="235"/>
      <c r="AD34" s="235">
        <v>22</v>
      </c>
      <c r="AE34" s="235" t="s">
        <v>76</v>
      </c>
      <c r="AF34" s="235"/>
      <c r="AG34" s="194"/>
      <c r="AH34" s="194">
        <v>19</v>
      </c>
      <c r="AI34" s="194" t="s">
        <v>76</v>
      </c>
      <c r="AJ34" s="194"/>
      <c r="AK34" s="235"/>
      <c r="AL34" s="235">
        <v>19</v>
      </c>
      <c r="AM34" s="235" t="s">
        <v>76</v>
      </c>
      <c r="AN34" s="235"/>
      <c r="AO34" s="194"/>
      <c r="AP34" s="194">
        <v>21</v>
      </c>
      <c r="AQ34" s="194" t="s">
        <v>76</v>
      </c>
      <c r="AR34" s="194"/>
      <c r="AS34" s="235"/>
      <c r="AT34" s="235">
        <v>23</v>
      </c>
      <c r="AU34" s="235" t="s">
        <v>76</v>
      </c>
      <c r="AV34" s="235"/>
    </row>
    <row r="35" spans="1:48" ht="24" customHeight="1">
      <c r="A35" s="195" t="s">
        <v>77</v>
      </c>
      <c r="B35" s="196"/>
      <c r="C35" s="196"/>
      <c r="D35" s="197"/>
      <c r="E35" s="198"/>
      <c r="F35" s="196"/>
      <c r="G35" s="199">
        <f>Maaned!CJ35</f>
        <v>365</v>
      </c>
      <c r="H35" s="294"/>
      <c r="I35" s="360" t="s">
        <v>97</v>
      </c>
      <c r="J35" s="361"/>
      <c r="K35" s="361"/>
      <c r="L35" s="362"/>
      <c r="M35" s="363"/>
      <c r="N35" s="361"/>
      <c r="O35" s="364">
        <f>Maaned!CJ19</f>
        <v>0</v>
      </c>
      <c r="P35" s="296"/>
      <c r="Q35" s="375" t="s">
        <v>100</v>
      </c>
      <c r="R35" s="376"/>
      <c r="S35" s="376"/>
      <c r="T35" s="377"/>
      <c r="U35" s="378"/>
      <c r="V35" s="376"/>
      <c r="W35" s="379">
        <f>Maaned!CJ22</f>
        <v>0</v>
      </c>
      <c r="X35" s="200"/>
      <c r="Y35" s="381" t="s">
        <v>81</v>
      </c>
      <c r="Z35" s="382"/>
      <c r="AA35" s="382"/>
      <c r="AB35" s="382"/>
      <c r="AC35" s="383"/>
      <c r="AD35" s="382"/>
      <c r="AE35" s="384">
        <f>Maaned!CJ29</f>
        <v>0</v>
      </c>
      <c r="AF35" s="294"/>
      <c r="AG35" s="334" t="s">
        <v>101</v>
      </c>
      <c r="AH35" s="335"/>
      <c r="AI35" s="335"/>
      <c r="AJ35" s="391"/>
      <c r="AK35" s="336"/>
      <c r="AL35" s="335"/>
      <c r="AM35" s="337">
        <f>Maaned!CJ32</f>
        <v>0</v>
      </c>
    </row>
    <row r="37" spans="1:48" ht="24" customHeight="1">
      <c r="A37" s="507" t="s">
        <v>168</v>
      </c>
      <c r="B37" s="205"/>
      <c r="C37" s="205"/>
      <c r="D37" s="206"/>
      <c r="E37" s="207"/>
      <c r="F37" s="205"/>
      <c r="G37" s="208">
        <f>Maaned!CJ17</f>
        <v>254</v>
      </c>
      <c r="I37" s="365" t="s">
        <v>98</v>
      </c>
      <c r="J37" s="366"/>
      <c r="K37" s="366"/>
      <c r="L37" s="367"/>
      <c r="M37" s="368"/>
      <c r="N37" s="366"/>
      <c r="O37" s="369">
        <f>Maaned!CJ20</f>
        <v>0</v>
      </c>
      <c r="Q37" s="346" t="s">
        <v>78</v>
      </c>
      <c r="R37" s="347"/>
      <c r="S37" s="347"/>
      <c r="T37" s="348"/>
      <c r="U37" s="349"/>
      <c r="V37" s="347"/>
      <c r="W37" s="350">
        <f>Maaned!CJ27</f>
        <v>0</v>
      </c>
      <c r="Y37" s="201" t="s">
        <v>62</v>
      </c>
      <c r="Z37" s="202"/>
      <c r="AA37" s="202"/>
      <c r="AB37" s="202"/>
      <c r="AC37" s="385"/>
      <c r="AD37" s="202"/>
      <c r="AE37" s="203">
        <f>Maaned!CJ30</f>
        <v>104</v>
      </c>
      <c r="AG37" s="338" t="s">
        <v>102</v>
      </c>
      <c r="AH37" s="339"/>
      <c r="AI37" s="339"/>
      <c r="AJ37" s="340"/>
      <c r="AK37" s="341"/>
      <c r="AL37" s="339"/>
      <c r="AM37" s="342">
        <f>Maaned!CJ33</f>
        <v>0</v>
      </c>
    </row>
    <row r="39" spans="1:48" ht="23" customHeight="1">
      <c r="A39" s="508" t="s">
        <v>169</v>
      </c>
      <c r="B39" s="356"/>
      <c r="C39" s="356"/>
      <c r="D39" s="357"/>
      <c r="E39" s="358"/>
      <c r="F39" s="356"/>
      <c r="G39" s="359">
        <f>Maaned!CJ18</f>
        <v>0</v>
      </c>
      <c r="I39" s="370" t="s">
        <v>99</v>
      </c>
      <c r="J39" s="371"/>
      <c r="K39" s="371"/>
      <c r="L39" s="372"/>
      <c r="M39" s="373"/>
      <c r="N39" s="371"/>
      <c r="O39" s="374">
        <f>Maaned!CJ21</f>
        <v>0</v>
      </c>
      <c r="Q39" s="351" t="s">
        <v>66</v>
      </c>
      <c r="R39" s="352"/>
      <c r="S39" s="352"/>
      <c r="T39" s="380"/>
      <c r="U39" s="353"/>
      <c r="V39" s="352"/>
      <c r="W39" s="354">
        <f>Maaned!CJ28</f>
        <v>0</v>
      </c>
      <c r="Y39" s="386" t="s">
        <v>57</v>
      </c>
      <c r="Z39" s="387"/>
      <c r="AA39" s="387"/>
      <c r="AB39" s="388"/>
      <c r="AC39" s="389"/>
      <c r="AD39" s="387"/>
      <c r="AE39" s="390">
        <f>Maaned!CJ31</f>
        <v>7</v>
      </c>
      <c r="AG39" s="195" t="s">
        <v>103</v>
      </c>
      <c r="AH39" s="196"/>
      <c r="AI39" s="196"/>
      <c r="AJ39" s="392"/>
      <c r="AK39" s="198"/>
      <c r="AL39" s="196"/>
      <c r="AM39" s="199">
        <f>Maaned!CJ34</f>
        <v>0</v>
      </c>
    </row>
    <row r="41" spans="1:48" ht="16">
      <c r="A41" s="204" t="str">
        <f>Maaned!CI37</f>
        <v>Norm. 1 Mandag</v>
      </c>
      <c r="B41" s="205"/>
      <c r="C41" s="205"/>
      <c r="D41" s="206"/>
      <c r="E41" s="207"/>
      <c r="F41" s="205"/>
      <c r="G41" s="208">
        <f>Maaned!CJ37</f>
        <v>50</v>
      </c>
      <c r="I41" s="343" t="str">
        <f>Maaned!CI43</f>
        <v>Norm. 2 Mandag</v>
      </c>
      <c r="J41" s="344"/>
      <c r="K41" s="344"/>
      <c r="L41" s="397"/>
      <c r="M41" s="398"/>
      <c r="N41" s="344"/>
      <c r="O41" s="345">
        <f>Maaned!CJ43</f>
        <v>0</v>
      </c>
    </row>
    <row r="42" spans="1:48" ht="16">
      <c r="A42" s="204" t="str">
        <f>Maaned!CI38</f>
        <v>Norm. 1 Tirsdag</v>
      </c>
      <c r="B42" s="205"/>
      <c r="C42" s="205"/>
      <c r="D42" s="206"/>
      <c r="E42" s="207"/>
      <c r="F42" s="205"/>
      <c r="G42" s="208">
        <f>Maaned!CJ38</f>
        <v>52</v>
      </c>
      <c r="I42" s="343" t="str">
        <f>Maaned!CI44</f>
        <v>Norm. 2 Tirsdag</v>
      </c>
      <c r="J42" s="344"/>
      <c r="K42" s="344"/>
      <c r="L42" s="397"/>
      <c r="M42" s="398"/>
      <c r="N42" s="344"/>
      <c r="O42" s="345">
        <f>Maaned!CJ44</f>
        <v>0</v>
      </c>
    </row>
    <row r="43" spans="1:48" ht="16">
      <c r="A43" s="204" t="str">
        <f>Maaned!CI39</f>
        <v>Norm. 1 Onsdag</v>
      </c>
      <c r="B43" s="205"/>
      <c r="C43" s="205"/>
      <c r="D43" s="206"/>
      <c r="E43" s="207"/>
      <c r="F43" s="205"/>
      <c r="G43" s="208">
        <f>Maaned!CJ39</f>
        <v>52</v>
      </c>
      <c r="I43" s="343" t="str">
        <f>Maaned!CI45</f>
        <v>Norm. 2 Onsdag</v>
      </c>
      <c r="J43" s="344"/>
      <c r="K43" s="344"/>
      <c r="L43" s="397"/>
      <c r="M43" s="398"/>
      <c r="N43" s="344"/>
      <c r="O43" s="345">
        <f>Maaned!CJ45</f>
        <v>0</v>
      </c>
    </row>
    <row r="44" spans="1:48" ht="16">
      <c r="A44" s="394" t="str">
        <f>Maaned!CI40</f>
        <v>Norm. 1 Torsdag</v>
      </c>
      <c r="G44" s="395">
        <f>Maaned!CJ40</f>
        <v>50</v>
      </c>
      <c r="I44" s="343" t="str">
        <f>Maaned!CI46</f>
        <v>Norm. 2 Torsdag</v>
      </c>
      <c r="J44" s="344"/>
      <c r="K44" s="344"/>
      <c r="L44" s="397"/>
      <c r="M44" s="398"/>
      <c r="N44" s="344"/>
      <c r="O44" s="345">
        <f>Maaned!CJ46</f>
        <v>0</v>
      </c>
    </row>
    <row r="45" spans="1:48" ht="16">
      <c r="A45" s="204" t="str">
        <f>Maaned!CI41</f>
        <v>Norm. 1 Fredag</v>
      </c>
      <c r="B45" s="396"/>
      <c r="C45" s="396"/>
      <c r="D45" s="396"/>
      <c r="E45" s="396"/>
      <c r="F45" s="396"/>
      <c r="G45" s="208">
        <f>Maaned!CJ41</f>
        <v>50</v>
      </c>
      <c r="I45" s="343" t="str">
        <f>Maaned!CI47</f>
        <v>Norm. 2 Fredag</v>
      </c>
      <c r="J45" s="344"/>
      <c r="K45" s="344"/>
      <c r="L45" s="397"/>
      <c r="M45" s="398"/>
      <c r="N45" s="344"/>
      <c r="O45" s="345">
        <f>Maaned!CJ47</f>
        <v>0</v>
      </c>
    </row>
  </sheetData>
  <sheetProtection sheet="1" formatCells="0" formatColumns="0" formatRows="0" insertColumns="0"/>
  <phoneticPr fontId="16" type="noConversion"/>
  <printOptions horizontalCentered="1" verticalCentered="1"/>
  <pageMargins left="0.19685039370078741" right="0.19685039370078741" top="0.39370078740157483" bottom="0.39370078740157483" header="0" footer="0"/>
  <pageSetup scale="38" orientation="portrait" horizontalDpi="4294967292" verticalDpi="4294967292"/>
  <ignoredErrors>
    <ignoredError sqref="C5:AV33 C3:F3 H3:AV3 C4:F4 H4:AV4" unlockedFormula="1"/>
  </ignoredErrors>
  <extLst>
    <ext xmlns:x14="http://schemas.microsoft.com/office/spreadsheetml/2009/9/main" uri="{78C0D931-6437-407d-A8EE-F0AAD7539E65}">
      <x14:conditionalFormattings>
        <x14:conditionalFormatting xmlns:xm="http://schemas.microsoft.com/office/excel/2006/main">
          <x14:cfRule type="expression" priority="66" id="{8F819304-AB41-D64A-B239-F942E691EBF9}">
            <xm:f>OR(Maaned!$D5="Rul 4")</xm:f>
            <x14:dxf>
              <font>
                <color theme="1"/>
              </font>
              <fill>
                <patternFill>
                  <bgColor theme="5" tint="-0.24994659260841701"/>
                </patternFill>
              </fill>
            </x14:dxf>
          </x14:cfRule>
          <x14:cfRule type="expression" priority="67" id="{DD272BDC-8DFE-E141-BEED-0B4D661DDA2D}">
            <xm:f>OR(Maaned!$D5="Rul 3")</xm:f>
            <x14:dxf>
              <font>
                <color theme="1"/>
              </font>
              <fill>
                <patternFill>
                  <bgColor theme="5" tint="0.39994506668294322"/>
                </patternFill>
              </fill>
            </x14:dxf>
          </x14:cfRule>
          <x14:cfRule type="expression" priority="69" id="{5906C1D5-0FF9-6E44-8A04-EFE31F82778D}">
            <xm:f>OR(Maaned!$D5="Rul 2")</xm:f>
            <x14:dxf>
              <font>
                <color theme="1"/>
              </font>
              <fill>
                <patternFill>
                  <bgColor theme="5" tint="0.59996337778862885"/>
                </patternFill>
              </fill>
            </x14:dxf>
          </x14:cfRule>
          <x14:cfRule type="expression" priority="70" id="{B8117159-FE76-8E46-83CD-864D5D560182}">
            <xm:f>OR(Maaned!$D5="Rul 1")</xm:f>
            <x14:dxf>
              <font>
                <color theme="1"/>
              </font>
              <fill>
                <patternFill>
                  <bgColor theme="5" tint="0.79998168889431442"/>
                </patternFill>
              </fill>
            </x14:dxf>
          </x14:cfRule>
          <x14:cfRule type="expression" priority="339" id="{C6D57852-D231-294E-8AFF-5ADBE84C3C98}">
            <xm:f>OR(Maaned!$D5="Ikke relevant")</xm:f>
            <x14:dxf>
              <font>
                <color theme="0"/>
              </font>
              <fill>
                <patternFill>
                  <bgColor theme="1"/>
                </patternFill>
              </fill>
            </x14:dxf>
          </x14:cfRule>
          <x14:cfRule type="expression" priority="340" id="{4F10EBB1-109B-2C48-A6CF-7E295733F57E}">
            <xm:f>OR(Maaned!$D5="Nul-dag")</xm:f>
            <x14:dxf>
              <font>
                <color theme="1"/>
              </font>
              <fill>
                <patternFill>
                  <bgColor theme="9" tint="0.79998168889431442"/>
                </patternFill>
              </fill>
            </x14:dxf>
          </x14:cfRule>
          <x14:cfRule type="expression" priority="341" id="{4916544B-9C88-CC49-95DF-48C69AC9BEB8}">
            <xm:f>OR(Maaned!$D5="Feriedag")</xm:f>
            <x14:dxf>
              <font>
                <color theme="1"/>
              </font>
              <fill>
                <patternFill>
                  <bgColor theme="9" tint="0.39994506668294322"/>
                </patternFill>
              </fill>
            </x14:dxf>
          </x14:cfRule>
          <x14:cfRule type="expression" priority="342" id="{7C8277B2-D0D6-DC4A-8831-B3F3C340573A}">
            <xm:f>OR(Maaned!$D5="SH-dag")</xm:f>
            <x14:dxf>
              <font>
                <color rgb="FF9C0006"/>
              </font>
              <fill>
                <patternFill>
                  <bgColor rgb="FFFF2F92"/>
                </patternFill>
              </fill>
            </x14:dxf>
          </x14:cfRule>
          <x14:cfRule type="expression" priority="465" id="{357C06D8-16B8-F44F-96F8-49CCD11CEF0B}">
            <xm:f>OR(Maaned!$D5="weekend")</xm:f>
            <x14:dxf>
              <font>
                <color theme="1"/>
              </font>
              <fill>
                <patternFill>
                  <bgColor theme="0" tint="-0.14996795556505021"/>
                </patternFill>
              </fill>
            </x14:dxf>
          </x14:cfRule>
          <xm:sqref>A3:D33</xm:sqref>
        </x14:conditionalFormatting>
        <x14:conditionalFormatting xmlns:xm="http://schemas.microsoft.com/office/excel/2006/main">
          <x14:cfRule type="expression" priority="464" id="{CDEE1F41-70E9-1441-88E8-387F923B7739}">
            <xm:f>OR(Maaned!$D5="Pæd.dag")</xm:f>
            <x14:dxf>
              <font>
                <color theme="1"/>
              </font>
              <fill>
                <patternFill>
                  <bgColor theme="7" tint="0.39994506668294322"/>
                </patternFill>
              </fill>
            </x14:dxf>
          </x14:cfRule>
          <xm:sqref>A3:D33</xm:sqref>
        </x14:conditionalFormatting>
        <x14:conditionalFormatting xmlns:xm="http://schemas.microsoft.com/office/excel/2006/main">
          <x14:cfRule type="expression" priority="463" id="{74FA6D0C-C6B5-154F-82EB-526DE537E16D}">
            <xm:f>OR(Maaned!$D5="Ekskursion")</xm:f>
            <x14:dxf>
              <font>
                <color theme="1"/>
              </font>
              <fill>
                <patternFill>
                  <bgColor theme="7" tint="0.59996337778862885"/>
                </patternFill>
              </fill>
            </x14:dxf>
          </x14:cfRule>
          <xm:sqref>A3:D33</xm:sqref>
        </x14:conditionalFormatting>
        <x14:conditionalFormatting xmlns:xm="http://schemas.microsoft.com/office/excel/2006/main">
          <x14:cfRule type="expression" priority="462" id="{6E4A7D0F-D95A-5B46-8C4D-30C88E036D3D}">
            <xm:f>OR(Maaned!$D5="Koloni")</xm:f>
            <x14:dxf>
              <font>
                <color theme="1"/>
              </font>
              <fill>
                <patternFill>
                  <bgColor theme="7" tint="0.79998168889431442"/>
                </patternFill>
              </fill>
            </x14:dxf>
          </x14:cfRule>
          <xm:sqref>A3:D33</xm:sqref>
        </x14:conditionalFormatting>
        <x14:conditionalFormatting xmlns:xm="http://schemas.microsoft.com/office/excel/2006/main">
          <x14:cfRule type="expression" priority="459" id="{1EAF3C26-417E-FF41-8B3F-072F64A45D98}">
            <xm:f>OR(Maaned!$D5="Særlig uge 2")</xm:f>
            <x14:dxf>
              <font>
                <color theme="1"/>
              </font>
              <fill>
                <patternFill>
                  <bgColor rgb="FFE6DFFF"/>
                </patternFill>
              </fill>
            </x14:dxf>
          </x14:cfRule>
          <x14:cfRule type="expression" priority="460" id="{D49B70C1-6670-984E-9915-E3CFC43F428F}">
            <xm:f>OR(Maaned!$D5="Særlig uge 3")</xm:f>
            <x14:dxf>
              <font>
                <color theme="1"/>
              </font>
              <fill>
                <patternFill>
                  <bgColor rgb="FF7A81FF"/>
                </patternFill>
              </fill>
            </x14:dxf>
          </x14:cfRule>
          <x14:cfRule type="expression" priority="461" id="{3FBE6CBC-2E69-7A4C-8187-D18001C0DB3E}">
            <xm:f>OR(Maaned!$D5="Særlig uge 4")</xm:f>
            <x14:dxf>
              <font>
                <color theme="1"/>
              </font>
              <fill>
                <patternFill>
                  <bgColor rgb="FF7030A0"/>
                </patternFill>
              </fill>
            </x14:dxf>
          </x14:cfRule>
          <xm:sqref>A3:D33</xm:sqref>
        </x14:conditionalFormatting>
        <x14:conditionalFormatting xmlns:xm="http://schemas.microsoft.com/office/excel/2006/main">
          <x14:cfRule type="expression" priority="457" id="{619EBC27-3F78-B846-BDC5-00EDD39BB61B}">
            <xm:f>OR(Maaned!$D5="Normal uge 2")</xm:f>
            <x14:dxf>
              <font>
                <color theme="1"/>
              </font>
              <fill>
                <patternFill>
                  <bgColor theme="4" tint="0.79998168889431442"/>
                </patternFill>
              </fill>
            </x14:dxf>
          </x14:cfRule>
          <x14:cfRule type="expression" priority="458" id="{32099C4D-2EF9-094C-A356-5E2B23AB7223}">
            <xm:f>OR(Maaned!$D5="Særlig uge 1")</xm:f>
            <x14:dxf>
              <font>
                <color theme="1"/>
              </font>
              <fill>
                <patternFill>
                  <bgColor rgb="FFD883FF"/>
                </patternFill>
              </fill>
            </x14:dxf>
          </x14:cfRule>
          <xm:sqref>A3:D33</xm:sqref>
        </x14:conditionalFormatting>
        <x14:conditionalFormatting xmlns:xm="http://schemas.microsoft.com/office/excel/2006/main">
          <x14:cfRule type="expression" priority="456" id="{B8A9A5F4-45C7-D64F-95E7-141B4068D4E7}">
            <xm:f>OR(Maaned!$D5="Normal uge 1")</xm:f>
            <x14:dxf>
              <font>
                <color theme="1"/>
              </font>
              <fill>
                <patternFill patternType="none">
                  <bgColor auto="1"/>
                </patternFill>
              </fill>
            </x14:dxf>
          </x14:cfRule>
          <xm:sqref>A3:D33</xm:sqref>
        </x14:conditionalFormatting>
        <x14:conditionalFormatting xmlns:xm="http://schemas.microsoft.com/office/excel/2006/main">
          <x14:cfRule type="expression" priority="42" id="{579A9053-CC78-6F4D-90CA-F2F01C5D7226}">
            <xm:f>OR(Maaned!$R5="Rul 4")</xm:f>
            <x14:dxf>
              <fill>
                <patternFill>
                  <bgColor theme="5" tint="-0.24994659260841701"/>
                </patternFill>
              </fill>
            </x14:dxf>
          </x14:cfRule>
          <x14:cfRule type="expression" priority="43" id="{9E5DEAF3-04B5-9A49-B262-C56F41DE44D7}">
            <xm:f>OR(Maaned!$R5="Rul 3")</xm:f>
            <x14:dxf>
              <fill>
                <patternFill>
                  <bgColor theme="5" tint="0.39994506668294322"/>
                </patternFill>
              </fill>
            </x14:dxf>
          </x14:cfRule>
          <x14:cfRule type="expression" priority="45" id="{BD22457A-413C-814D-87CD-2CDE3527261E}">
            <xm:f>OR(Maaned!$R5="Rul 2")</xm:f>
            <x14:dxf>
              <font>
                <color theme="1"/>
              </font>
              <fill>
                <patternFill>
                  <bgColor theme="5" tint="0.59996337778862885"/>
                </patternFill>
              </fill>
            </x14:dxf>
          </x14:cfRule>
          <x14:cfRule type="expression" priority="46" id="{722593B8-3F4A-E741-AB11-6B22A2AC3C14}">
            <xm:f>OR(Maaned!$R5="Rul 1")</xm:f>
            <x14:dxf>
              <font>
                <color theme="1"/>
              </font>
              <fill>
                <patternFill>
                  <fgColor auto="1"/>
                  <bgColor theme="5" tint="0.79998168889431442"/>
                </patternFill>
              </fill>
            </x14:dxf>
          </x14:cfRule>
          <x14:cfRule type="expression" priority="311" id="{8F7490AB-5A0C-1F40-8CA4-BBF7DAB40F3A}">
            <xm:f>OR(Maaned!$R5="Ikke relevant")</xm:f>
            <x14:dxf>
              <font>
                <color theme="0"/>
              </font>
              <fill>
                <patternFill>
                  <bgColor theme="1"/>
                </patternFill>
              </fill>
            </x14:dxf>
          </x14:cfRule>
          <x14:cfRule type="expression" priority="312" id="{E3B73FFD-82E9-6E4E-9C05-176ADF8EC131}">
            <xm:f>OR(Maaned!$R5="Nul-dag")</xm:f>
            <x14:dxf>
              <font>
                <color theme="1"/>
              </font>
              <fill>
                <patternFill>
                  <bgColor theme="9" tint="0.79998168889431442"/>
                </patternFill>
              </fill>
            </x14:dxf>
          </x14:cfRule>
          <x14:cfRule type="expression" priority="313" id="{7C15B02B-AF6A-B147-8BAA-93E6272C6FBD}">
            <xm:f>OR(Maaned!$R5="Feriedag")</xm:f>
            <x14:dxf>
              <font>
                <color theme="1"/>
              </font>
              <fill>
                <patternFill>
                  <bgColor theme="9" tint="0.39994506668294322"/>
                </patternFill>
              </fill>
            </x14:dxf>
          </x14:cfRule>
          <x14:cfRule type="expression" priority="314" id="{E4CC0810-9411-E04E-96C3-D37B45EC5B3F}">
            <xm:f>OR(Maaned!$R5="SH-dag")</xm:f>
            <x14:dxf>
              <font>
                <color rgb="FF9C0006"/>
              </font>
              <fill>
                <patternFill>
                  <bgColor rgb="FFFF2F92"/>
                </patternFill>
              </fill>
            </x14:dxf>
          </x14:cfRule>
          <x14:cfRule type="expression" priority="324" id="{060B7B71-C9D2-A747-8958-50331100C5DD}">
            <xm:f>OR(Maaned!$R5="weekend")</xm:f>
            <x14:dxf>
              <font>
                <color theme="1"/>
              </font>
              <fill>
                <patternFill>
                  <bgColor theme="0" tint="-0.14996795556505021"/>
                </patternFill>
              </fill>
            </x14:dxf>
          </x14:cfRule>
          <xm:sqref>I3:L33</xm:sqref>
        </x14:conditionalFormatting>
        <x14:conditionalFormatting xmlns:xm="http://schemas.microsoft.com/office/excel/2006/main">
          <x14:cfRule type="expression" priority="323" id="{D3FE20B7-558A-4347-9C5B-B142F65AE6C0}">
            <xm:f>OR(Maaned!$R5="Pæd. dag")</xm:f>
            <x14:dxf>
              <font>
                <color theme="1"/>
              </font>
              <fill>
                <patternFill>
                  <bgColor theme="7" tint="0.39994506668294322"/>
                </patternFill>
              </fill>
            </x14:dxf>
          </x14:cfRule>
          <xm:sqref>I3:L33</xm:sqref>
        </x14:conditionalFormatting>
        <x14:conditionalFormatting xmlns:xm="http://schemas.microsoft.com/office/excel/2006/main">
          <x14:cfRule type="expression" priority="322" id="{646707D0-79FC-CB49-A89E-F70BD3BA85D0}">
            <xm:f>OR(Maaned!$R5="Ekskursion")</xm:f>
            <x14:dxf>
              <font>
                <color theme="1"/>
              </font>
              <fill>
                <patternFill>
                  <bgColor theme="7" tint="0.59996337778862885"/>
                </patternFill>
              </fill>
            </x14:dxf>
          </x14:cfRule>
          <xm:sqref>I3:L33</xm:sqref>
        </x14:conditionalFormatting>
        <x14:conditionalFormatting xmlns:xm="http://schemas.microsoft.com/office/excel/2006/main">
          <x14:cfRule type="expression" priority="321" id="{2A699A91-7700-6E4A-B215-AB8A0846C4E5}">
            <xm:f>OR(Maaned!$R5="Koloni")</xm:f>
            <x14:dxf>
              <font>
                <color theme="1"/>
              </font>
              <fill>
                <patternFill>
                  <bgColor theme="7" tint="0.79998168889431442"/>
                </patternFill>
              </fill>
            </x14:dxf>
          </x14:cfRule>
          <xm:sqref>I3:L33</xm:sqref>
        </x14:conditionalFormatting>
        <x14:conditionalFormatting xmlns:xm="http://schemas.microsoft.com/office/excel/2006/main">
          <x14:cfRule type="expression" priority="318" id="{BDDCE88B-8294-6547-874D-F171994F8A26}">
            <xm:f>OR(Maaned!$R5="Særlig uge 2")</xm:f>
            <x14:dxf>
              <font>
                <color theme="1"/>
              </font>
              <fill>
                <patternFill>
                  <bgColor rgb="FFE6DFFF"/>
                </patternFill>
              </fill>
            </x14:dxf>
          </x14:cfRule>
          <x14:cfRule type="expression" priority="319" id="{C71B0EF7-52D6-AF44-AE54-738272A2EE77}">
            <xm:f>OR(Maaned!$R5="Særlig uge 3")</xm:f>
            <x14:dxf>
              <font>
                <color theme="1"/>
              </font>
              <fill>
                <patternFill>
                  <bgColor rgb="FF7A81FF"/>
                </patternFill>
              </fill>
            </x14:dxf>
          </x14:cfRule>
          <x14:cfRule type="expression" priority="320" id="{F3089F63-2BA6-7F40-B6AC-B89E194685E9}">
            <xm:f>OR(Maaned!$R5="Særlig uge 4")</xm:f>
            <x14:dxf>
              <font>
                <color theme="1"/>
              </font>
              <fill>
                <patternFill>
                  <bgColor rgb="FF7030A0"/>
                </patternFill>
              </fill>
            </x14:dxf>
          </x14:cfRule>
          <xm:sqref>I3:L33</xm:sqref>
        </x14:conditionalFormatting>
        <x14:conditionalFormatting xmlns:xm="http://schemas.microsoft.com/office/excel/2006/main">
          <x14:cfRule type="expression" priority="316" id="{3804568D-F711-2B41-BA4C-9A1C57A0233D}">
            <xm:f>OR(Maaned!$R5="Normal uge 2")</xm:f>
            <x14:dxf>
              <font>
                <color theme="1"/>
              </font>
              <fill>
                <patternFill>
                  <bgColor theme="4" tint="0.79998168889431442"/>
                </patternFill>
              </fill>
            </x14:dxf>
          </x14:cfRule>
          <x14:cfRule type="expression" priority="317" id="{CCC38CBB-0C92-AA4E-8830-926F5459DE18}">
            <xm:f>OR(Maaned!$R5="Særlig uge 1")</xm:f>
            <x14:dxf>
              <font>
                <color theme="1"/>
              </font>
              <fill>
                <patternFill>
                  <bgColor rgb="FFD883FF"/>
                </patternFill>
              </fill>
            </x14:dxf>
          </x14:cfRule>
          <xm:sqref>I3:L33</xm:sqref>
        </x14:conditionalFormatting>
        <x14:conditionalFormatting xmlns:xm="http://schemas.microsoft.com/office/excel/2006/main">
          <x14:cfRule type="expression" priority="315" id="{D1110C87-E0A0-A949-B9DA-52326C625311}">
            <xm:f>OR(Maaned!$R5="Normal uge 1")</xm:f>
            <x14:dxf>
              <font>
                <color theme="1"/>
              </font>
              <fill>
                <patternFill patternType="none">
                  <bgColor auto="1"/>
                </patternFill>
              </fill>
            </x14:dxf>
          </x14:cfRule>
          <xm:sqref>I3:L33</xm:sqref>
        </x14:conditionalFormatting>
        <x14:conditionalFormatting xmlns:xm="http://schemas.microsoft.com/office/excel/2006/main">
          <x14:cfRule type="expression" priority="33" id="{05344B35-9272-9E47-A42C-E7DB42872F58}">
            <xm:f>OR(Maaned!$Y5="Rul 4")</xm:f>
            <x14:dxf>
              <font>
                <color theme="1"/>
              </font>
              <fill>
                <patternFill>
                  <bgColor theme="5" tint="-0.24994659260841701"/>
                </patternFill>
              </fill>
            </x14:dxf>
          </x14:cfRule>
          <x14:cfRule type="expression" priority="35" id="{0ADBC6A8-A308-3A46-8030-D70D00A35BFD}">
            <xm:f>OR(Maaned!$Y5="Rul 3")</xm:f>
            <x14:dxf>
              <font>
                <color theme="1"/>
              </font>
              <fill>
                <patternFill>
                  <bgColor theme="5" tint="0.39994506668294322"/>
                </patternFill>
              </fill>
            </x14:dxf>
          </x14:cfRule>
          <x14:cfRule type="expression" priority="37" id="{3262C2DA-6B9A-4344-97BE-878CA56524B4}">
            <xm:f>OR(Maaned!$Y5="Rul 2")</xm:f>
            <x14:dxf>
              <font>
                <color theme="1"/>
              </font>
              <fill>
                <patternFill>
                  <bgColor theme="5" tint="0.59996337778862885"/>
                </patternFill>
              </fill>
            </x14:dxf>
          </x14:cfRule>
          <x14:cfRule type="expression" priority="40" id="{1EF8C5C1-3D6E-6B45-8278-78915523B5B3}">
            <xm:f>OR(Maaned!$Y5="Rul 1")</xm:f>
            <x14:dxf>
              <font>
                <color theme="1"/>
              </font>
              <fill>
                <patternFill>
                  <bgColor theme="5" tint="0.79998168889431442"/>
                </patternFill>
              </fill>
            </x14:dxf>
          </x14:cfRule>
          <x14:cfRule type="expression" priority="297" id="{9FDBEB4A-9330-9C45-9A31-B00E0A6282BA}">
            <xm:f>OR(Maaned!$Y5="Ikke relevant")</xm:f>
            <x14:dxf>
              <font>
                <color theme="0"/>
              </font>
              <fill>
                <patternFill>
                  <bgColor theme="1"/>
                </patternFill>
              </fill>
            </x14:dxf>
          </x14:cfRule>
          <x14:cfRule type="expression" priority="298" id="{044C3E75-DD73-7E49-B10E-DE4856E18113}">
            <xm:f>OR(Maaned!$Y5="Nul-dag")</xm:f>
            <x14:dxf>
              <font>
                <color theme="1"/>
              </font>
              <fill>
                <patternFill>
                  <bgColor theme="9" tint="0.79998168889431442"/>
                </patternFill>
              </fill>
            </x14:dxf>
          </x14:cfRule>
          <x14:cfRule type="expression" priority="299" id="{9D62927E-2EA3-684F-9428-1DE00F672904}">
            <xm:f>OR(Maaned!$Y5="Feriedag")</xm:f>
            <x14:dxf>
              <font>
                <color theme="1"/>
              </font>
              <fill>
                <patternFill>
                  <bgColor theme="9" tint="0.39994506668294322"/>
                </patternFill>
              </fill>
            </x14:dxf>
          </x14:cfRule>
          <x14:cfRule type="expression" priority="300" id="{12FF2AD8-DFA8-7149-91D5-4DD909BE1033}">
            <xm:f>OR(Maaned!$Y5="SH-dag")</xm:f>
            <x14:dxf>
              <font>
                <color rgb="FF9C0006"/>
              </font>
              <fill>
                <patternFill>
                  <bgColor rgb="FFFF2F92"/>
                </patternFill>
              </fill>
            </x14:dxf>
          </x14:cfRule>
          <x14:cfRule type="expression" priority="301" id="{D9C82C35-89A0-7A4E-90FE-E7BF8CD21B55}">
            <xm:f>OR(Maaned!$Y5="Normal uge 1")</xm:f>
            <x14:dxf>
              <font>
                <color theme="1"/>
              </font>
              <fill>
                <patternFill patternType="none">
                  <bgColor auto="1"/>
                </patternFill>
              </fill>
            </x14:dxf>
          </x14:cfRule>
          <x14:cfRule type="expression" priority="302" id="{77B136F5-993D-A142-9831-04D3586D22C7}">
            <xm:f>OR(Maaned!$Y5="Normal uge 2")</xm:f>
            <x14:dxf>
              <font>
                <color theme="1"/>
              </font>
              <fill>
                <patternFill>
                  <bgColor theme="4" tint="0.79998168889431442"/>
                </patternFill>
              </fill>
            </x14:dxf>
          </x14:cfRule>
          <x14:cfRule type="expression" priority="303" id="{FA398548-14DE-F442-8E91-279E278363EE}">
            <xm:f>OR(Maaned!$Y5="Særlig uge 1")</xm:f>
            <x14:dxf>
              <font>
                <color theme="1"/>
              </font>
              <fill>
                <patternFill>
                  <bgColor rgb="FFD883FF"/>
                </patternFill>
              </fill>
            </x14:dxf>
          </x14:cfRule>
          <x14:cfRule type="expression" priority="304" id="{A72117E0-EE8F-3743-825D-1B0FEA5E0E28}">
            <xm:f>OR(Maaned!$Y5="Særlig uge 2")</xm:f>
            <x14:dxf>
              <font>
                <color theme="1"/>
              </font>
              <fill>
                <patternFill>
                  <bgColor rgb="FFE6DFFF"/>
                </patternFill>
              </fill>
            </x14:dxf>
          </x14:cfRule>
          <x14:cfRule type="expression" priority="305" id="{34B01373-07B2-A94E-B324-C23F4C125A50}">
            <xm:f>OR(Maaned!$Y5="Særlig uge 3")</xm:f>
            <x14:dxf>
              <font>
                <color theme="1"/>
              </font>
              <fill>
                <patternFill>
                  <bgColor rgb="FF7A81FF"/>
                </patternFill>
              </fill>
            </x14:dxf>
          </x14:cfRule>
          <x14:cfRule type="expression" priority="306" id="{546FF3E1-BB98-C54C-B938-0A151840CCB4}">
            <xm:f>OR(Maaned!$Y5="Særlig uge 4")</xm:f>
            <x14:dxf>
              <font>
                <color theme="1"/>
              </font>
              <fill>
                <patternFill>
                  <bgColor rgb="FF7030A0"/>
                </patternFill>
              </fill>
            </x14:dxf>
          </x14:cfRule>
          <x14:cfRule type="expression" priority="307" id="{24DC0FD9-7FAE-B640-8138-05F25AE46CCE}">
            <xm:f>OR(Maaned!$Y5="Koloni")</xm:f>
            <x14:dxf>
              <font>
                <color theme="1"/>
              </font>
              <fill>
                <patternFill>
                  <bgColor theme="7" tint="0.79998168889431442"/>
                </patternFill>
              </fill>
            </x14:dxf>
          </x14:cfRule>
          <x14:cfRule type="expression" priority="308" id="{79288E4E-55DA-714D-A8B5-F47BF4DF3073}">
            <xm:f>OR(Maaned!$Y5="Ekskursion")</xm:f>
            <x14:dxf>
              <font>
                <color theme="1"/>
              </font>
              <fill>
                <patternFill>
                  <bgColor theme="7" tint="0.59996337778862885"/>
                </patternFill>
              </fill>
            </x14:dxf>
          </x14:cfRule>
          <x14:cfRule type="expression" priority="309" id="{1F4554C0-DA0E-F047-B466-1E5AE13D8CA4}">
            <xm:f>OR(Maaned!$Y5="Pæd. dag")</xm:f>
            <x14:dxf>
              <font>
                <color theme="1"/>
              </font>
              <fill>
                <patternFill>
                  <bgColor theme="7" tint="0.39994506668294322"/>
                </patternFill>
              </fill>
            </x14:dxf>
          </x14:cfRule>
          <x14:cfRule type="expression" priority="310" id="{9E122C04-EA81-0D44-9DD3-0D77440B7053}">
            <xm:f>OR(Maaned!$Y5="weekend")</xm:f>
            <x14:dxf>
              <font>
                <color theme="1"/>
              </font>
              <fill>
                <patternFill>
                  <bgColor theme="0" tint="-0.14996795556505021"/>
                </patternFill>
              </fill>
            </x14:dxf>
          </x14:cfRule>
          <xm:sqref>M3:P33</xm:sqref>
        </x14:conditionalFormatting>
        <x14:conditionalFormatting xmlns:xm="http://schemas.microsoft.com/office/excel/2006/main">
          <x14:cfRule type="expression" priority="29" id="{CC70A347-6C8B-074D-9561-04A059807CB8}">
            <xm:f>OR(Maaned!$AF5="Rul 4")</xm:f>
            <x14:dxf>
              <font>
                <color theme="1"/>
              </font>
              <fill>
                <patternFill>
                  <bgColor theme="5" tint="-0.24994659260841701"/>
                </patternFill>
              </fill>
            </x14:dxf>
          </x14:cfRule>
          <x14:cfRule type="expression" priority="30" id="{A576C18E-72D4-1B4C-A890-36B2B2706BD3}">
            <xm:f>OR(Maaned!$AF5="Rul 3")</xm:f>
            <x14:dxf>
              <font>
                <color theme="1"/>
              </font>
              <fill>
                <patternFill>
                  <bgColor theme="5" tint="0.39994506668294322"/>
                </patternFill>
              </fill>
            </x14:dxf>
          </x14:cfRule>
          <x14:cfRule type="expression" priority="31" id="{D17A6DA0-746E-C24B-A907-59F486B6D039}">
            <xm:f>OR(Maaned!$AF5="Rul 2")</xm:f>
            <x14:dxf>
              <font>
                <color theme="1"/>
              </font>
              <fill>
                <patternFill>
                  <bgColor theme="5" tint="0.59996337778862885"/>
                </patternFill>
              </fill>
            </x14:dxf>
          </x14:cfRule>
          <x14:cfRule type="expression" priority="32" id="{53F94722-AE79-9D4E-9570-653BAE60FB72}">
            <xm:f>OR(Maaned!$AF5="Rul 1")</xm:f>
            <x14:dxf>
              <font>
                <color theme="1"/>
              </font>
              <fill>
                <patternFill>
                  <bgColor theme="5" tint="0.79998168889431442"/>
                </patternFill>
              </fill>
            </x14:dxf>
          </x14:cfRule>
          <x14:cfRule type="expression" priority="171" id="{A75A01B8-8FC2-3E4E-B13A-C8FBA44FABB5}">
            <xm:f>OR(Maaned!$AF5="Ikke relevant")</xm:f>
            <x14:dxf>
              <font>
                <color theme="0"/>
              </font>
              <fill>
                <patternFill>
                  <bgColor theme="1"/>
                </patternFill>
              </fill>
            </x14:dxf>
          </x14:cfRule>
          <x14:cfRule type="expression" priority="172" id="{F1FDF45A-601D-5949-91CB-588E3DF72F77}">
            <xm:f>OR(Maaned!$AF5="Nul-dag")</xm:f>
            <x14:dxf>
              <font>
                <color theme="1"/>
              </font>
              <fill>
                <patternFill>
                  <bgColor theme="9" tint="0.79998168889431442"/>
                </patternFill>
              </fill>
            </x14:dxf>
          </x14:cfRule>
          <x14:cfRule type="expression" priority="173" id="{257D889B-7289-4D48-8D6F-8B6A20240DDD}">
            <xm:f>OR(Maaned!$AF5="Feriedag")</xm:f>
            <x14:dxf>
              <font>
                <color theme="1"/>
              </font>
              <fill>
                <patternFill>
                  <bgColor theme="9" tint="0.39994506668294322"/>
                </patternFill>
              </fill>
            </x14:dxf>
          </x14:cfRule>
          <x14:cfRule type="expression" priority="174" id="{038B1AE2-5888-B148-AAAC-5293DAE9F53D}">
            <xm:f>OR(Maaned!$AF5="SH-dag")</xm:f>
            <x14:dxf>
              <font>
                <color rgb="FF9C0006"/>
              </font>
              <fill>
                <patternFill>
                  <bgColor rgb="FFFF2F92"/>
                </patternFill>
              </fill>
            </x14:dxf>
          </x14:cfRule>
          <x14:cfRule type="expression" priority="175" id="{4AF4D073-0785-D54A-BBD8-98BCE04A6B35}">
            <xm:f>OR(Maaned!$AF5="Normal uge 1")</xm:f>
            <x14:dxf>
              <font>
                <color theme="1"/>
              </font>
              <fill>
                <patternFill patternType="none">
                  <bgColor auto="1"/>
                </patternFill>
              </fill>
            </x14:dxf>
          </x14:cfRule>
          <x14:cfRule type="expression" priority="176" id="{B2C08EBC-9BD7-874A-9B84-A275AA709DFD}">
            <xm:f>OR(Maaned!$AF5="Normal uge 2")</xm:f>
            <x14:dxf>
              <font>
                <color theme="1"/>
              </font>
              <fill>
                <patternFill>
                  <bgColor theme="4" tint="0.79998168889431442"/>
                </patternFill>
              </fill>
            </x14:dxf>
          </x14:cfRule>
          <x14:cfRule type="expression" priority="177" id="{247A7DF3-3707-434F-928D-D211C7BAA11E}">
            <xm:f>OR(Maaned!$AF5="Særlig uge 1")</xm:f>
            <x14:dxf>
              <font>
                <color theme="1"/>
              </font>
              <fill>
                <patternFill>
                  <bgColor rgb="FFD883FF"/>
                </patternFill>
              </fill>
            </x14:dxf>
          </x14:cfRule>
          <x14:cfRule type="expression" priority="178" id="{66BB0B7E-ECE4-A94D-A9E1-C5EBA8B80AA2}">
            <xm:f>OR(Maaned!$AF5="Særlig uge 2")</xm:f>
            <x14:dxf>
              <font>
                <color theme="1"/>
              </font>
              <fill>
                <patternFill>
                  <bgColor rgb="FFE6DFFF"/>
                </patternFill>
              </fill>
            </x14:dxf>
          </x14:cfRule>
          <x14:cfRule type="expression" priority="179" id="{A730CDBD-3B40-6F4E-B0C1-FECC5165B090}">
            <xm:f>OR(Maaned!$AF5="Særlig uge 3")</xm:f>
            <x14:dxf>
              <font>
                <color theme="1"/>
              </font>
              <fill>
                <patternFill>
                  <bgColor rgb="FF7A81FF"/>
                </patternFill>
              </fill>
            </x14:dxf>
          </x14:cfRule>
          <x14:cfRule type="expression" priority="180" id="{74BEB510-2FFC-984E-823B-5F9E14F6D5C1}">
            <xm:f>OR(Maaned!$AF5="Særlig uge 4")</xm:f>
            <x14:dxf>
              <font>
                <color theme="1"/>
              </font>
              <fill>
                <patternFill>
                  <bgColor rgb="FF7030A0"/>
                </patternFill>
              </fill>
            </x14:dxf>
          </x14:cfRule>
          <x14:cfRule type="expression" priority="181" id="{EA3115D4-597A-2D4D-B7DF-ADCCAECA359D}">
            <xm:f>OR(Maaned!$AF5="Koloni")</xm:f>
            <x14:dxf>
              <font>
                <color theme="1"/>
              </font>
              <fill>
                <patternFill>
                  <bgColor theme="7" tint="0.79998168889431442"/>
                </patternFill>
              </fill>
            </x14:dxf>
          </x14:cfRule>
          <x14:cfRule type="expression" priority="182" id="{A962C1E4-7761-DF45-ACFC-188E6F08BF85}">
            <xm:f>OR(Maaned!$AF5="Ekskursion")</xm:f>
            <x14:dxf>
              <font>
                <color theme="1"/>
              </font>
              <fill>
                <patternFill>
                  <bgColor theme="7" tint="0.59996337778862885"/>
                </patternFill>
              </fill>
            </x14:dxf>
          </x14:cfRule>
          <x14:cfRule type="expression" priority="183" id="{DCB6B603-FBD9-8148-9BCE-554AC9370F43}">
            <xm:f>OR(Maaned!$AF5="Pæd. dag")</xm:f>
            <x14:dxf>
              <font>
                <color theme="1"/>
              </font>
              <fill>
                <patternFill>
                  <bgColor theme="7" tint="0.39994506668294322"/>
                </patternFill>
              </fill>
            </x14:dxf>
          </x14:cfRule>
          <x14:cfRule type="expression" priority="184" id="{78151397-325F-7F4B-90FC-3FE398E353CB}">
            <xm:f>OR(Maaned!$AF5="weekend")</xm:f>
            <x14:dxf>
              <font>
                <color theme="1"/>
              </font>
              <fill>
                <patternFill>
                  <bgColor theme="0" tint="-0.14996795556505021"/>
                </patternFill>
              </fill>
            </x14:dxf>
          </x14:cfRule>
          <xm:sqref>Q3:T33</xm:sqref>
        </x14:conditionalFormatting>
        <x14:conditionalFormatting xmlns:xm="http://schemas.microsoft.com/office/excel/2006/main">
          <x14:cfRule type="expression" priority="25" id="{F7B85125-2E67-934D-AEE5-F6751E1F1D61}">
            <xm:f>OR(Maaned!$AM5="Rul 4")</xm:f>
            <x14:dxf>
              <font>
                <color theme="1"/>
              </font>
              <fill>
                <patternFill>
                  <bgColor theme="5" tint="-0.24994659260841701"/>
                </patternFill>
              </fill>
            </x14:dxf>
          </x14:cfRule>
          <x14:cfRule type="expression" priority="26" id="{17CB0735-D3C8-8E4A-BE91-E86350D27B71}">
            <xm:f>OR(Maaned!$AM5="Rul 3")</xm:f>
            <x14:dxf>
              <font>
                <color theme="1"/>
              </font>
              <fill>
                <patternFill>
                  <bgColor theme="5" tint="0.39994506668294322"/>
                </patternFill>
              </fill>
            </x14:dxf>
          </x14:cfRule>
          <x14:cfRule type="expression" priority="27" id="{E92DE479-A879-3C46-9B19-2AC1E7404671}">
            <xm:f>OR(Maaned!$AM5="Rul 2")</xm:f>
            <x14:dxf>
              <font>
                <color theme="1"/>
              </font>
              <fill>
                <patternFill>
                  <bgColor theme="5" tint="0.59996337778862885"/>
                </patternFill>
              </fill>
            </x14:dxf>
          </x14:cfRule>
          <x14:cfRule type="expression" priority="28" id="{A4441507-B1B7-7A43-80CA-AC0E4D29BD31}">
            <xm:f>OR(Maaned!$AM5="Rul 1")</xm:f>
            <x14:dxf>
              <font>
                <color theme="1"/>
              </font>
              <fill>
                <patternFill>
                  <bgColor theme="5" tint="0.79998168889431442"/>
                </patternFill>
              </fill>
            </x14:dxf>
          </x14:cfRule>
          <x14:cfRule type="expression" priority="157" id="{5F32F237-95B2-8045-8B64-FBFE85A5BA97}">
            <xm:f>OR(Maaned!$AM5="Ikke relevant")</xm:f>
            <x14:dxf>
              <font>
                <color theme="0"/>
              </font>
              <fill>
                <patternFill>
                  <bgColor theme="1"/>
                </patternFill>
              </fill>
            </x14:dxf>
          </x14:cfRule>
          <x14:cfRule type="expression" priority="158" id="{A5DD9F14-9512-1740-B6AD-ED4B5E9DF2BE}">
            <xm:f>OR(Maaned!$AM5="Nul-dag")</xm:f>
            <x14:dxf>
              <font>
                <color theme="1"/>
              </font>
              <fill>
                <patternFill>
                  <bgColor theme="9" tint="0.79998168889431442"/>
                </patternFill>
              </fill>
            </x14:dxf>
          </x14:cfRule>
          <x14:cfRule type="expression" priority="159" id="{7F1A641B-DF50-B545-9081-C164093A35D8}">
            <xm:f>OR(Maaned!$AM5="Feriedag")</xm:f>
            <x14:dxf>
              <font>
                <color theme="1"/>
              </font>
              <fill>
                <patternFill>
                  <bgColor theme="9" tint="0.39994506668294322"/>
                </patternFill>
              </fill>
            </x14:dxf>
          </x14:cfRule>
          <x14:cfRule type="expression" priority="160" id="{B41AD030-EA68-1843-8454-E9DA936A36E0}">
            <xm:f>OR(Maaned!$AM5="SH-dag")</xm:f>
            <x14:dxf>
              <font>
                <color rgb="FF9C0006"/>
              </font>
              <fill>
                <patternFill>
                  <bgColor rgb="FFFF2F92"/>
                </patternFill>
              </fill>
            </x14:dxf>
          </x14:cfRule>
          <x14:cfRule type="expression" priority="161" id="{2E8B7FF5-A16A-5740-84C1-610DD2359D43}">
            <xm:f>OR(Maaned!$AM5="Normal uge 1")</xm:f>
            <x14:dxf>
              <font>
                <color theme="1"/>
              </font>
              <fill>
                <patternFill patternType="none">
                  <bgColor auto="1"/>
                </patternFill>
              </fill>
            </x14:dxf>
          </x14:cfRule>
          <x14:cfRule type="expression" priority="162" id="{D32506DE-FE82-C445-B437-58ADE5D74EDF}">
            <xm:f>OR(Maaned!$AM5="Normal uge 2")</xm:f>
            <x14:dxf>
              <font>
                <color theme="1"/>
              </font>
              <fill>
                <patternFill>
                  <bgColor theme="4" tint="0.79998168889431442"/>
                </patternFill>
              </fill>
            </x14:dxf>
          </x14:cfRule>
          <x14:cfRule type="expression" priority="163" id="{AC26B377-41E9-354B-98DB-A3B568EA978F}">
            <xm:f>OR(Maaned!$AM5="Særlig uge 1")</xm:f>
            <x14:dxf>
              <font>
                <color theme="1"/>
              </font>
              <fill>
                <patternFill>
                  <bgColor rgb="FFD883FF"/>
                </patternFill>
              </fill>
            </x14:dxf>
          </x14:cfRule>
          <x14:cfRule type="expression" priority="164" id="{9E07F933-F77E-AC46-A0E7-DFDAC3F54798}">
            <xm:f>OR(Maaned!$AM5="Særlig uge 2")</xm:f>
            <x14:dxf>
              <font>
                <color theme="1"/>
              </font>
              <fill>
                <patternFill>
                  <bgColor rgb="FFE6DFFF"/>
                </patternFill>
              </fill>
            </x14:dxf>
          </x14:cfRule>
          <x14:cfRule type="expression" priority="165" id="{FF59DCF7-A8C9-E041-80D0-0F71B64F6D4D}">
            <xm:f>OR(Maaned!$AM5="Særlig uge 3")</xm:f>
            <x14:dxf>
              <font>
                <color theme="1"/>
              </font>
              <fill>
                <patternFill>
                  <bgColor rgb="FF7A81FF"/>
                </patternFill>
              </fill>
            </x14:dxf>
          </x14:cfRule>
          <x14:cfRule type="expression" priority="166" id="{2BE46B87-AD78-7643-ACDF-7C3D8273970F}">
            <xm:f>OR(Maaned!$AM5="Særlig uge 4")</xm:f>
            <x14:dxf>
              <font>
                <color theme="1"/>
              </font>
              <fill>
                <patternFill>
                  <bgColor rgb="FF7030A0"/>
                </patternFill>
              </fill>
            </x14:dxf>
          </x14:cfRule>
          <x14:cfRule type="expression" priority="167" id="{C5BAAA92-7963-AD47-B11D-DC462C0356E2}">
            <xm:f>OR(Maaned!$AM5="Koloni")</xm:f>
            <x14:dxf>
              <font>
                <color theme="1"/>
              </font>
              <fill>
                <patternFill>
                  <bgColor theme="7" tint="0.79998168889431442"/>
                </patternFill>
              </fill>
            </x14:dxf>
          </x14:cfRule>
          <x14:cfRule type="expression" priority="168" id="{7085C430-5EB0-9A4F-BF00-FCADEDB624A4}">
            <xm:f>OR(Maaned!$AM5="Ekskursion")</xm:f>
            <x14:dxf>
              <font>
                <color theme="1"/>
              </font>
              <fill>
                <patternFill>
                  <bgColor theme="7" tint="0.59996337778862885"/>
                </patternFill>
              </fill>
            </x14:dxf>
          </x14:cfRule>
          <x14:cfRule type="expression" priority="169" id="{B33534F7-D455-F44E-B5AB-311167A583C2}">
            <xm:f>OR(Maaned!$AM5="Pæd. dag")</xm:f>
            <x14:dxf>
              <font>
                <color theme="1"/>
              </font>
              <fill>
                <patternFill>
                  <bgColor theme="7" tint="0.39994506668294322"/>
                </patternFill>
              </fill>
            </x14:dxf>
          </x14:cfRule>
          <x14:cfRule type="expression" priority="170" id="{DBE290B9-A70D-3E4B-8C5A-D9658C331D41}">
            <xm:f>OR(Maaned!$AM5="weekend")</xm:f>
            <x14:dxf>
              <font>
                <color theme="1"/>
              </font>
              <fill>
                <patternFill>
                  <bgColor theme="0" tint="-0.14996795556505021"/>
                </patternFill>
              </fill>
            </x14:dxf>
          </x14:cfRule>
          <xm:sqref>U3:X33</xm:sqref>
        </x14:conditionalFormatting>
        <x14:conditionalFormatting xmlns:xm="http://schemas.microsoft.com/office/excel/2006/main">
          <x14:cfRule type="expression" priority="21" id="{DBE681BC-2326-544E-8DCD-5B5479F43E6F}">
            <xm:f>OR(Maaned!$AT5="Rul 4")</xm:f>
            <x14:dxf>
              <font>
                <color theme="1"/>
              </font>
              <fill>
                <patternFill>
                  <bgColor theme="5" tint="-0.24994659260841701"/>
                </patternFill>
              </fill>
            </x14:dxf>
          </x14:cfRule>
          <x14:cfRule type="expression" priority="22" id="{ABB7A612-DDA5-AA4F-BFA1-7D40B1B1517C}">
            <xm:f>OR(Maaned!$AT5="Rul 3")</xm:f>
            <x14:dxf>
              <font>
                <color theme="1"/>
              </font>
              <fill>
                <patternFill>
                  <bgColor theme="5" tint="0.39994506668294322"/>
                </patternFill>
              </fill>
            </x14:dxf>
          </x14:cfRule>
          <x14:cfRule type="expression" priority="23" id="{B728727F-8E9C-644A-89B5-B9C01F99EB2E}">
            <xm:f>OR(Maaned!$AT5="Rul 2")</xm:f>
            <x14:dxf>
              <font>
                <color theme="1"/>
              </font>
              <fill>
                <patternFill>
                  <bgColor theme="5" tint="0.59996337778862885"/>
                </patternFill>
              </fill>
            </x14:dxf>
          </x14:cfRule>
          <x14:cfRule type="expression" priority="24" id="{FE38EBCF-E800-F945-9404-A9181F814EDF}">
            <xm:f>OR(Maaned!$AT5="Rul 1")</xm:f>
            <x14:dxf>
              <font>
                <color theme="1"/>
              </font>
              <fill>
                <patternFill>
                  <bgColor theme="5" tint="0.79998168889431442"/>
                </patternFill>
              </fill>
            </x14:dxf>
          </x14:cfRule>
          <x14:cfRule type="expression" priority="143" id="{079F0452-B4D5-0342-8E94-E3A4CDC28926}">
            <xm:f>OR(Maaned!$AT5="Ikke relevant")</xm:f>
            <x14:dxf>
              <font>
                <color theme="0"/>
              </font>
              <fill>
                <patternFill>
                  <bgColor theme="1"/>
                </patternFill>
              </fill>
            </x14:dxf>
          </x14:cfRule>
          <x14:cfRule type="expression" priority="144" id="{2D592D30-B002-014D-B9C9-9CBC8A6B49F4}">
            <xm:f>OR(Maaned!$AT5="Nul-dag")</xm:f>
            <x14:dxf>
              <font>
                <color theme="1"/>
              </font>
              <fill>
                <patternFill>
                  <bgColor theme="9" tint="0.79998168889431442"/>
                </patternFill>
              </fill>
            </x14:dxf>
          </x14:cfRule>
          <x14:cfRule type="expression" priority="145" id="{F75B23F8-EC16-514E-B5A7-33690DC0C6E3}">
            <xm:f>OR(Maaned!$AT5="Feriedag")</xm:f>
            <x14:dxf>
              <font>
                <color theme="1"/>
              </font>
              <fill>
                <patternFill>
                  <bgColor theme="9" tint="0.39994506668294322"/>
                </patternFill>
              </fill>
            </x14:dxf>
          </x14:cfRule>
          <x14:cfRule type="expression" priority="146" id="{E0CCFDF4-1629-044F-A66B-86E1077E98B6}">
            <xm:f>OR(Maaned!$AT5="SH-dag")</xm:f>
            <x14:dxf>
              <font>
                <color rgb="FF9C0006"/>
              </font>
              <fill>
                <patternFill>
                  <bgColor rgb="FFFF2F92"/>
                </patternFill>
              </fill>
            </x14:dxf>
          </x14:cfRule>
          <x14:cfRule type="expression" priority="147" id="{9A32527D-DD95-0642-A851-30DBB14D61D4}">
            <xm:f>OR(Maaned!$AT5="Normal uge 1")</xm:f>
            <x14:dxf>
              <font>
                <color theme="1"/>
              </font>
              <fill>
                <patternFill patternType="none">
                  <bgColor auto="1"/>
                </patternFill>
              </fill>
            </x14:dxf>
          </x14:cfRule>
          <x14:cfRule type="expression" priority="148" id="{DBDDB413-D738-A14B-916D-C1D015D29B71}">
            <xm:f>OR(Maaned!$AT5="Normal uge 2")</xm:f>
            <x14:dxf>
              <font>
                <color theme="1"/>
              </font>
              <fill>
                <patternFill>
                  <bgColor theme="4" tint="0.79998168889431442"/>
                </patternFill>
              </fill>
            </x14:dxf>
          </x14:cfRule>
          <x14:cfRule type="expression" priority="149" id="{C8A54BAF-D49E-754D-B19A-4A9C8779E772}">
            <xm:f>OR(Maaned!$AT5="Særlig uge 1")</xm:f>
            <x14:dxf>
              <font>
                <color theme="1"/>
              </font>
              <fill>
                <patternFill>
                  <bgColor rgb="FFD883FF"/>
                </patternFill>
              </fill>
            </x14:dxf>
          </x14:cfRule>
          <x14:cfRule type="expression" priority="150" id="{BA09E857-BBBE-2945-98A3-8B89CA1C46CD}">
            <xm:f>OR(Maaned!$AT5="Særlig uge 2")</xm:f>
            <x14:dxf>
              <font>
                <color theme="1"/>
              </font>
              <fill>
                <patternFill>
                  <bgColor rgb="FFE6DFFF"/>
                </patternFill>
              </fill>
            </x14:dxf>
          </x14:cfRule>
          <x14:cfRule type="expression" priority="151" id="{589F1153-21ED-8949-A1B4-70E248354E83}">
            <xm:f>OR(Maaned!$AT5="Særlig uge 3")</xm:f>
            <x14:dxf>
              <font>
                <color theme="1"/>
              </font>
              <fill>
                <patternFill>
                  <bgColor rgb="FF7A81FF"/>
                </patternFill>
              </fill>
            </x14:dxf>
          </x14:cfRule>
          <x14:cfRule type="expression" priority="152" id="{E9870785-794E-3F4F-9AFE-7382C4E9EB19}">
            <xm:f>OR(Maaned!$AT5="Særlig uge 4")</xm:f>
            <x14:dxf>
              <font>
                <color theme="1"/>
              </font>
              <fill>
                <patternFill>
                  <bgColor rgb="FF7030A0"/>
                </patternFill>
              </fill>
            </x14:dxf>
          </x14:cfRule>
          <x14:cfRule type="expression" priority="153" id="{1ACECD65-854D-2E4A-B18D-45D54C3BAB86}">
            <xm:f>OR(Maaned!$AT5="Koloni")</xm:f>
            <x14:dxf>
              <font>
                <color theme="1"/>
              </font>
              <fill>
                <patternFill>
                  <bgColor theme="7" tint="0.79998168889431442"/>
                </patternFill>
              </fill>
            </x14:dxf>
          </x14:cfRule>
          <x14:cfRule type="expression" priority="154" id="{8B3A341C-BA2B-7C4C-94D3-B1375C2D0D38}">
            <xm:f>OR(Maaned!$AT5="Ekskursion")</xm:f>
            <x14:dxf>
              <font>
                <color theme="1"/>
              </font>
              <fill>
                <patternFill>
                  <bgColor theme="7" tint="0.59996337778862885"/>
                </patternFill>
              </fill>
            </x14:dxf>
          </x14:cfRule>
          <x14:cfRule type="expression" priority="155" id="{05CFF6CA-E1C2-3D42-B20E-328F372BB059}">
            <xm:f>OR(Maaned!$AT5="Pæd. dag")</xm:f>
            <x14:dxf>
              <font>
                <color theme="1"/>
              </font>
              <fill>
                <patternFill>
                  <bgColor theme="7" tint="0.39994506668294322"/>
                </patternFill>
              </fill>
            </x14:dxf>
          </x14:cfRule>
          <x14:cfRule type="expression" priority="156" id="{2270636B-8BE2-7048-A3AD-008FE0E5A966}">
            <xm:f>OR(Maaned!$AT5="weekend")</xm:f>
            <x14:dxf>
              <font>
                <color theme="1"/>
              </font>
              <fill>
                <patternFill>
                  <bgColor theme="0" tint="-0.14996795556505021"/>
                </patternFill>
              </fill>
            </x14:dxf>
          </x14:cfRule>
          <xm:sqref>Y3:AB33</xm:sqref>
        </x14:conditionalFormatting>
        <x14:conditionalFormatting xmlns:xm="http://schemas.microsoft.com/office/excel/2006/main">
          <x14:cfRule type="expression" priority="17" id="{598F5B03-8CD9-074D-88D3-26F96FA45D59}">
            <xm:f>OR(Maaned!$BA5="Rul 4")</xm:f>
            <x14:dxf>
              <font>
                <color theme="1"/>
              </font>
              <fill>
                <patternFill>
                  <bgColor theme="5" tint="-0.24994659260841701"/>
                </patternFill>
              </fill>
            </x14:dxf>
          </x14:cfRule>
          <x14:cfRule type="expression" priority="18" id="{94A16AA2-0D38-E649-B5B7-6D10E9AFB10A}">
            <xm:f>OR(Maaned!$BA5="Rul 3")</xm:f>
            <x14:dxf>
              <font>
                <color theme="1"/>
              </font>
              <fill>
                <patternFill>
                  <bgColor theme="5" tint="0.39994506668294322"/>
                </patternFill>
              </fill>
            </x14:dxf>
          </x14:cfRule>
          <x14:cfRule type="expression" priority="19" id="{73A28E93-3728-134A-81E6-C0F00F2470E5}">
            <xm:f>OR(Maaned!$BA5="Rul 2")</xm:f>
            <x14:dxf>
              <font>
                <color theme="1"/>
              </font>
              <fill>
                <patternFill>
                  <bgColor theme="5" tint="0.59996337778862885"/>
                </patternFill>
              </fill>
            </x14:dxf>
          </x14:cfRule>
          <x14:cfRule type="expression" priority="20" id="{3C41004A-11F0-8144-A4BD-BCB661B771C0}">
            <xm:f>OR(Maaned!$BA5="Rul 1")</xm:f>
            <x14:dxf>
              <font>
                <u val="none"/>
                <color theme="1"/>
              </font>
              <fill>
                <patternFill>
                  <bgColor theme="5" tint="0.79998168889431442"/>
                </patternFill>
              </fill>
            </x14:dxf>
          </x14:cfRule>
          <x14:cfRule type="expression" priority="129" id="{611264D4-3C0A-7F4F-BA22-171F448E1E29}">
            <xm:f>OR(Maaned!$BA5="Ikke relevant")</xm:f>
            <x14:dxf>
              <font>
                <color theme="0"/>
              </font>
              <fill>
                <patternFill>
                  <bgColor theme="1"/>
                </patternFill>
              </fill>
            </x14:dxf>
          </x14:cfRule>
          <x14:cfRule type="expression" priority="130" id="{10D8497D-07A9-F94E-925F-54202ECF431B}">
            <xm:f>OR(Maaned!$BA5="Nul-dag")</xm:f>
            <x14:dxf>
              <font>
                <color theme="1"/>
              </font>
              <fill>
                <patternFill>
                  <bgColor theme="9" tint="0.79998168889431442"/>
                </patternFill>
              </fill>
            </x14:dxf>
          </x14:cfRule>
          <x14:cfRule type="expression" priority="131" id="{C4CA7950-9709-A540-977D-D7785B3DE088}">
            <xm:f>OR(Maaned!$BA5="Feriedag")</xm:f>
            <x14:dxf>
              <font>
                <color theme="1"/>
              </font>
              <fill>
                <patternFill>
                  <bgColor theme="9" tint="0.39994506668294322"/>
                </patternFill>
              </fill>
            </x14:dxf>
          </x14:cfRule>
          <x14:cfRule type="expression" priority="132" id="{ED1E3B1C-7058-9D4B-9EF7-C7BD5AEF0A01}">
            <xm:f>OR(Maaned!$BA5="SH-dag")</xm:f>
            <x14:dxf>
              <font>
                <color rgb="FF9C0006"/>
              </font>
              <fill>
                <patternFill>
                  <bgColor rgb="FFFF2F92"/>
                </patternFill>
              </fill>
            </x14:dxf>
          </x14:cfRule>
          <x14:cfRule type="expression" priority="133" id="{CA864DD6-74A1-FF49-B9B2-DD8D84844CEC}">
            <xm:f>OR(Maaned!$BA5="Normal uge 1")</xm:f>
            <x14:dxf>
              <font>
                <color theme="1"/>
              </font>
              <fill>
                <patternFill patternType="none">
                  <bgColor auto="1"/>
                </patternFill>
              </fill>
            </x14:dxf>
          </x14:cfRule>
          <x14:cfRule type="expression" priority="134" id="{EFA3998A-701F-F841-8246-B94340DD6C53}">
            <xm:f>OR(Maaned!$BA5="Normal uge 2")</xm:f>
            <x14:dxf>
              <font>
                <color theme="1"/>
              </font>
              <fill>
                <patternFill>
                  <bgColor theme="4" tint="0.79998168889431442"/>
                </patternFill>
              </fill>
            </x14:dxf>
          </x14:cfRule>
          <x14:cfRule type="expression" priority="135" id="{057BF572-084F-C044-840F-E05338C4BA3E}">
            <xm:f>OR(Maaned!$BA5="Særlig uge 1")</xm:f>
            <x14:dxf>
              <font>
                <color theme="1"/>
              </font>
              <fill>
                <patternFill>
                  <bgColor rgb="FFD883FF"/>
                </patternFill>
              </fill>
            </x14:dxf>
          </x14:cfRule>
          <x14:cfRule type="expression" priority="136" id="{1696A9EB-5E90-2E4A-85B6-7BB5AE789E17}">
            <xm:f>OR(Maaned!$BA5="Særlig uge 2")</xm:f>
            <x14:dxf>
              <font>
                <color theme="1"/>
              </font>
              <fill>
                <patternFill>
                  <bgColor rgb="FFE6DFFF"/>
                </patternFill>
              </fill>
            </x14:dxf>
          </x14:cfRule>
          <x14:cfRule type="expression" priority="137" id="{3D96A61C-BAEC-7944-AA3C-4899FE0A17EE}">
            <xm:f>OR(Maaned!$BA5="Særlig uge 3")</xm:f>
            <x14:dxf>
              <font>
                <color theme="1"/>
              </font>
              <fill>
                <patternFill>
                  <bgColor rgb="FF7A81FF"/>
                </patternFill>
              </fill>
            </x14:dxf>
          </x14:cfRule>
          <x14:cfRule type="expression" priority="138" id="{8E3A623F-4447-9045-AA67-F3757FF65207}">
            <xm:f>OR(Maaned!$BA5="Særlig uge 4")</xm:f>
            <x14:dxf>
              <font>
                <color theme="1"/>
              </font>
              <fill>
                <patternFill>
                  <bgColor rgb="FF7030A0"/>
                </patternFill>
              </fill>
            </x14:dxf>
          </x14:cfRule>
          <x14:cfRule type="expression" priority="139" id="{E329570F-DB13-DB4B-88C6-8A094C0ECF57}">
            <xm:f>OR(Maaned!$BA5="Koloni")</xm:f>
            <x14:dxf>
              <font>
                <color theme="1"/>
              </font>
              <fill>
                <patternFill>
                  <bgColor theme="7" tint="0.79998168889431442"/>
                </patternFill>
              </fill>
            </x14:dxf>
          </x14:cfRule>
          <x14:cfRule type="expression" priority="140" id="{5C568B68-C6D7-4449-9E55-C18EEABBA162}">
            <xm:f>OR(Maaned!$BA5="Ekskursion")</xm:f>
            <x14:dxf>
              <font>
                <color theme="1"/>
              </font>
              <fill>
                <patternFill>
                  <bgColor theme="7" tint="0.59996337778862885"/>
                </patternFill>
              </fill>
            </x14:dxf>
          </x14:cfRule>
          <x14:cfRule type="expression" priority="141" id="{A304C404-CDBE-2242-8981-6A7AB9677B34}">
            <xm:f>OR(Maaned!$BA5="Pæd. dag")</xm:f>
            <x14:dxf>
              <font>
                <color theme="1"/>
              </font>
              <fill>
                <patternFill>
                  <bgColor theme="7" tint="0.39994506668294322"/>
                </patternFill>
              </fill>
            </x14:dxf>
          </x14:cfRule>
          <x14:cfRule type="expression" priority="142" id="{9208F966-1C80-3640-BDF0-6D0F61BEB94A}">
            <xm:f>OR(Maaned!$BA5="weekend")</xm:f>
            <x14:dxf>
              <font>
                <color theme="1"/>
              </font>
              <fill>
                <patternFill>
                  <bgColor theme="0" tint="-0.14996795556505021"/>
                </patternFill>
              </fill>
            </x14:dxf>
          </x14:cfRule>
          <xm:sqref>AC3:AF33</xm:sqref>
        </x14:conditionalFormatting>
        <x14:conditionalFormatting xmlns:xm="http://schemas.microsoft.com/office/excel/2006/main">
          <x14:cfRule type="expression" priority="13" id="{F4A8091E-A424-2545-8A9A-CE2FBF06F4BB}">
            <xm:f>OR(Maaned!$BH5="Rul 4")</xm:f>
            <x14:dxf>
              <font>
                <color theme="1"/>
              </font>
              <fill>
                <patternFill>
                  <bgColor theme="5" tint="-0.24994659260841701"/>
                </patternFill>
              </fill>
            </x14:dxf>
          </x14:cfRule>
          <x14:cfRule type="expression" priority="14" id="{8ECDA9FB-EBCF-0944-A9CA-A12F142E23EE}">
            <xm:f>OR(Maaned!$BH5="Rul 3")</xm:f>
            <x14:dxf>
              <font>
                <color theme="1"/>
              </font>
              <fill>
                <patternFill>
                  <bgColor theme="5" tint="0.39994506668294322"/>
                </patternFill>
              </fill>
            </x14:dxf>
          </x14:cfRule>
          <x14:cfRule type="expression" priority="15" id="{484B177D-BBA9-C047-A096-236CD2BBB3F8}">
            <xm:f>OR(Maaned!$BH5="Rul 2")</xm:f>
            <x14:dxf>
              <font>
                <color theme="1"/>
              </font>
              <fill>
                <patternFill>
                  <bgColor theme="5" tint="0.59996337778862885"/>
                </patternFill>
              </fill>
            </x14:dxf>
          </x14:cfRule>
          <x14:cfRule type="expression" priority="16" id="{92014C88-9AD5-204B-946A-16A987A6435B}">
            <xm:f>OR(Maaned!$BH5="Rul 1")</xm:f>
            <x14:dxf>
              <font>
                <color theme="1"/>
              </font>
              <fill>
                <patternFill>
                  <bgColor theme="5" tint="0.79998168889431442"/>
                </patternFill>
              </fill>
            </x14:dxf>
          </x14:cfRule>
          <x14:cfRule type="expression" priority="115" id="{E87AEAA1-3B8E-5342-9A25-F6205F936718}">
            <xm:f>OR(Maaned!$BH5="Ikke relevant")</xm:f>
            <x14:dxf>
              <font>
                <color theme="0"/>
              </font>
              <fill>
                <patternFill>
                  <bgColor theme="1"/>
                </patternFill>
              </fill>
            </x14:dxf>
          </x14:cfRule>
          <x14:cfRule type="expression" priority="116" id="{8D1CE8A2-E541-DD46-BD96-ECD16490D4E2}">
            <xm:f>OR(Maaned!$BH5="Nul-dag")</xm:f>
            <x14:dxf>
              <font>
                <color theme="1"/>
              </font>
              <fill>
                <patternFill>
                  <bgColor theme="9" tint="0.79998168889431442"/>
                </patternFill>
              </fill>
            </x14:dxf>
          </x14:cfRule>
          <x14:cfRule type="expression" priority="117" id="{72D1EA87-89EF-6D48-8E9C-3EC208A88271}">
            <xm:f>OR(Maaned!$BH5="Feriedag")</xm:f>
            <x14:dxf>
              <font>
                <color theme="1"/>
              </font>
              <fill>
                <patternFill>
                  <bgColor theme="9" tint="0.39994506668294322"/>
                </patternFill>
              </fill>
            </x14:dxf>
          </x14:cfRule>
          <x14:cfRule type="expression" priority="118" id="{870C1BBE-A880-DB42-9688-1B803DCAFDA3}">
            <xm:f>OR(Maaned!$BH5="SH-dag")</xm:f>
            <x14:dxf>
              <font>
                <color rgb="FF9C0006"/>
              </font>
              <fill>
                <patternFill>
                  <bgColor rgb="FFFF2F92"/>
                </patternFill>
              </fill>
            </x14:dxf>
          </x14:cfRule>
          <x14:cfRule type="expression" priority="119" id="{75D6D330-C59F-B54C-98A7-ABCF6D0473ED}">
            <xm:f>OR(Maaned!$BH5="Normal uge 1")</xm:f>
            <x14:dxf>
              <font>
                <color theme="1"/>
              </font>
              <fill>
                <patternFill patternType="none">
                  <bgColor auto="1"/>
                </patternFill>
              </fill>
            </x14:dxf>
          </x14:cfRule>
          <x14:cfRule type="expression" priority="120" id="{5BB968BD-9606-8B4A-9E6E-184BB5C4DE12}">
            <xm:f>OR(Maaned!$BH5="Normal uge 2")</xm:f>
            <x14:dxf>
              <font>
                <color theme="1"/>
              </font>
              <fill>
                <patternFill>
                  <bgColor theme="4" tint="0.79998168889431442"/>
                </patternFill>
              </fill>
            </x14:dxf>
          </x14:cfRule>
          <x14:cfRule type="expression" priority="121" id="{48B78AAA-3D98-874D-B466-09AD6AFB1F49}">
            <xm:f>OR(Maaned!$BH5="Særlig uge 1")</xm:f>
            <x14:dxf>
              <font>
                <color theme="1"/>
              </font>
              <fill>
                <patternFill>
                  <bgColor rgb="FFD883FF"/>
                </patternFill>
              </fill>
            </x14:dxf>
          </x14:cfRule>
          <x14:cfRule type="expression" priority="122" id="{7C7443D9-0039-1345-B05D-3B3F9BF4E45C}">
            <xm:f>OR(Maaned!$BH5="Særlig uge 2")</xm:f>
            <x14:dxf>
              <font>
                <color theme="1"/>
              </font>
              <fill>
                <patternFill>
                  <bgColor rgb="FFE6DFFF"/>
                </patternFill>
              </fill>
            </x14:dxf>
          </x14:cfRule>
          <x14:cfRule type="expression" priority="123" id="{22A5521E-9D4B-324F-99B2-70AFF550642B}">
            <xm:f>OR(Maaned!$BH5="Særlig uge 3")</xm:f>
            <x14:dxf>
              <font>
                <color theme="1"/>
              </font>
              <fill>
                <patternFill>
                  <bgColor rgb="FF7A81FF"/>
                </patternFill>
              </fill>
            </x14:dxf>
          </x14:cfRule>
          <x14:cfRule type="expression" priority="124" id="{505228A7-733E-E845-957B-E4F0ED8E81DC}">
            <xm:f>OR(Maaned!$BH5="Særlig uge 4")</xm:f>
            <x14:dxf>
              <font>
                <color theme="1"/>
              </font>
              <fill>
                <patternFill>
                  <bgColor rgb="FF7030A0"/>
                </patternFill>
              </fill>
            </x14:dxf>
          </x14:cfRule>
          <x14:cfRule type="expression" priority="125" id="{1D1B10E6-DDCC-2B41-A9C6-1A5A7A224ECC}">
            <xm:f>OR(Maaned!$BH5="Koloni")</xm:f>
            <x14:dxf>
              <font>
                <color theme="1"/>
              </font>
              <fill>
                <patternFill>
                  <bgColor theme="7" tint="0.79998168889431442"/>
                </patternFill>
              </fill>
            </x14:dxf>
          </x14:cfRule>
          <x14:cfRule type="expression" priority="126" id="{29486170-5DCD-7847-B2D0-A771C9EE08A9}">
            <xm:f>OR(Maaned!$BH5="Ekskursion")</xm:f>
            <x14:dxf>
              <font>
                <color theme="1"/>
              </font>
              <fill>
                <patternFill>
                  <bgColor theme="7" tint="0.59996337778862885"/>
                </patternFill>
              </fill>
            </x14:dxf>
          </x14:cfRule>
          <x14:cfRule type="expression" priority="127" id="{F5617018-737B-9F46-B220-4D38706E0DD8}">
            <xm:f>OR(Maaned!$BH5="Pæd. dag")</xm:f>
            <x14:dxf>
              <font>
                <color theme="1"/>
              </font>
              <fill>
                <patternFill>
                  <bgColor theme="7" tint="0.39994506668294322"/>
                </patternFill>
              </fill>
            </x14:dxf>
          </x14:cfRule>
          <x14:cfRule type="expression" priority="128" id="{234D8868-4E04-F84F-91E7-EB1512FE55AC}">
            <xm:f>OR(Maaned!$BH5="weekend")</xm:f>
            <x14:dxf>
              <font>
                <color theme="1"/>
              </font>
              <fill>
                <patternFill>
                  <bgColor theme="0" tint="-0.14996795556505021"/>
                </patternFill>
              </fill>
            </x14:dxf>
          </x14:cfRule>
          <xm:sqref>AG3:AJ33</xm:sqref>
        </x14:conditionalFormatting>
        <x14:conditionalFormatting xmlns:xm="http://schemas.microsoft.com/office/excel/2006/main">
          <x14:cfRule type="expression" priority="9" id="{DAD869FB-13D6-5B44-A8DC-51C2CB45A614}">
            <xm:f>OR(Maaned!$BO5="Rul 4")</xm:f>
            <x14:dxf>
              <font>
                <color theme="1"/>
              </font>
              <fill>
                <patternFill>
                  <bgColor theme="5" tint="-0.24994659260841701"/>
                </patternFill>
              </fill>
            </x14:dxf>
          </x14:cfRule>
          <x14:cfRule type="expression" priority="10" id="{12FD444B-154A-B34E-BFC1-67EA3DD8736A}">
            <xm:f>OR(Maaned!$BO5="Rul 3")</xm:f>
            <x14:dxf>
              <font>
                <color theme="1"/>
              </font>
              <fill>
                <patternFill>
                  <bgColor theme="5" tint="0.39994506668294322"/>
                </patternFill>
              </fill>
            </x14:dxf>
          </x14:cfRule>
          <x14:cfRule type="expression" priority="11" id="{C94AE61B-562E-B846-96E9-22A45F6BA036}">
            <xm:f>OR(Maaned!$BO5="Rul 2")</xm:f>
            <x14:dxf>
              <font>
                <color theme="1"/>
              </font>
              <fill>
                <patternFill>
                  <bgColor theme="5" tint="0.59996337778862885"/>
                </patternFill>
              </fill>
            </x14:dxf>
          </x14:cfRule>
          <x14:cfRule type="expression" priority="12" id="{C794E6E3-AD49-F842-B0FC-24CAA5C4CC9F}">
            <xm:f>OR(Maaned!$BO5="Rul 1")</xm:f>
            <x14:dxf>
              <font>
                <color theme="1"/>
              </font>
              <fill>
                <patternFill>
                  <bgColor theme="5" tint="0.79998168889431442"/>
                </patternFill>
              </fill>
            </x14:dxf>
          </x14:cfRule>
          <x14:cfRule type="expression" priority="101" id="{B861B262-89D7-814C-A0AC-0CD0F779E65D}">
            <xm:f>OR(Maaned!$BO5="Ikke relevant")</xm:f>
            <x14:dxf>
              <font>
                <color theme="0"/>
              </font>
              <fill>
                <patternFill>
                  <bgColor theme="1"/>
                </patternFill>
              </fill>
            </x14:dxf>
          </x14:cfRule>
          <x14:cfRule type="expression" priority="102" id="{B8DB8562-603A-A44D-9869-5D338559852C}">
            <xm:f>OR(Maaned!$BO5="Nul-dag")</xm:f>
            <x14:dxf>
              <font>
                <color theme="1"/>
              </font>
              <fill>
                <patternFill>
                  <bgColor theme="9" tint="0.79998168889431442"/>
                </patternFill>
              </fill>
            </x14:dxf>
          </x14:cfRule>
          <x14:cfRule type="expression" priority="103" id="{3A9146A8-78BA-474F-9A63-DD61A6328A89}">
            <xm:f>OR(Maaned!$BO5="Feriedag")</xm:f>
            <x14:dxf>
              <font>
                <color theme="1"/>
              </font>
              <fill>
                <patternFill>
                  <bgColor theme="9" tint="0.39994506668294322"/>
                </patternFill>
              </fill>
            </x14:dxf>
          </x14:cfRule>
          <x14:cfRule type="expression" priority="104" id="{A51E4254-89AC-E24D-9199-26897A4F9072}">
            <xm:f>OR(Maaned!$BO5="SH-dag")</xm:f>
            <x14:dxf>
              <font>
                <color rgb="FF9C0006"/>
              </font>
              <fill>
                <patternFill>
                  <bgColor rgb="FFFF2F92"/>
                </patternFill>
              </fill>
            </x14:dxf>
          </x14:cfRule>
          <x14:cfRule type="expression" priority="105" id="{494091B3-26DB-D542-B021-CCC31E9BE618}">
            <xm:f>OR(Maaned!$BO5="Normal uge 1")</xm:f>
            <x14:dxf>
              <font>
                <color theme="1"/>
              </font>
              <fill>
                <patternFill patternType="none">
                  <bgColor auto="1"/>
                </patternFill>
              </fill>
            </x14:dxf>
          </x14:cfRule>
          <x14:cfRule type="expression" priority="106" id="{5A255949-C262-A84B-8BAD-6DDCE7607A93}">
            <xm:f>OR(Maaned!$BO5="Normal uge 2")</xm:f>
            <x14:dxf>
              <font>
                <color theme="1"/>
              </font>
              <fill>
                <patternFill>
                  <bgColor theme="4" tint="0.79998168889431442"/>
                </patternFill>
              </fill>
            </x14:dxf>
          </x14:cfRule>
          <x14:cfRule type="expression" priority="107" id="{FB6D954B-48E6-2645-9233-B5BA3136C897}">
            <xm:f>OR(Maaned!$BO5="Særlig uge 1")</xm:f>
            <x14:dxf>
              <font>
                <color theme="1"/>
              </font>
              <fill>
                <patternFill>
                  <bgColor rgb="FFD883FF"/>
                </patternFill>
              </fill>
            </x14:dxf>
          </x14:cfRule>
          <x14:cfRule type="expression" priority="108" id="{10B2AFCD-CD44-3B4E-9C06-BAF855C5735C}">
            <xm:f>OR(Maaned!$BO5="Særlig uge 2")</xm:f>
            <x14:dxf>
              <font>
                <color theme="1"/>
              </font>
              <fill>
                <patternFill>
                  <bgColor rgb="FFE6DFFF"/>
                </patternFill>
              </fill>
            </x14:dxf>
          </x14:cfRule>
          <x14:cfRule type="expression" priority="109" id="{0390E0E2-5F2B-B34F-A074-54920F85F554}">
            <xm:f>OR(Maaned!$BO5="Særlig uge 3")</xm:f>
            <x14:dxf>
              <font>
                <color theme="1"/>
              </font>
              <fill>
                <patternFill>
                  <bgColor rgb="FF7A81FF"/>
                </patternFill>
              </fill>
            </x14:dxf>
          </x14:cfRule>
          <x14:cfRule type="expression" priority="110" id="{2E3B4CD3-69E6-9A47-9DD0-64C9AD004C66}">
            <xm:f>OR(Maaned!$BO5="Særlig uge 4")</xm:f>
            <x14:dxf>
              <font>
                <color theme="1"/>
              </font>
              <fill>
                <patternFill>
                  <bgColor rgb="FF7030A0"/>
                </patternFill>
              </fill>
            </x14:dxf>
          </x14:cfRule>
          <x14:cfRule type="expression" priority="111" id="{FB457DE8-FDB6-0E47-A11E-7A3908350C8E}">
            <xm:f>OR(Maaned!$BO5="Koloni")</xm:f>
            <x14:dxf>
              <font>
                <color theme="1"/>
              </font>
              <fill>
                <patternFill>
                  <bgColor theme="7" tint="0.79998168889431442"/>
                </patternFill>
              </fill>
            </x14:dxf>
          </x14:cfRule>
          <x14:cfRule type="expression" priority="112" id="{8BDB52D7-FEAC-8245-A7E2-9EC9D1303B00}">
            <xm:f>OR(Maaned!$BO5="Ekskursion")</xm:f>
            <x14:dxf>
              <font>
                <color theme="1"/>
              </font>
              <fill>
                <patternFill>
                  <bgColor theme="7" tint="0.59996337778862885"/>
                </patternFill>
              </fill>
            </x14:dxf>
          </x14:cfRule>
          <x14:cfRule type="expression" priority="113" id="{C586F3E7-3FF3-AF4C-9D57-89CC43C4A0EC}">
            <xm:f>OR(Maaned!$BO5="Pæd. dag")</xm:f>
            <x14:dxf>
              <font>
                <color theme="1"/>
              </font>
              <fill>
                <patternFill>
                  <bgColor theme="7" tint="0.39994506668294322"/>
                </patternFill>
              </fill>
            </x14:dxf>
          </x14:cfRule>
          <x14:cfRule type="expression" priority="114" id="{FC2C84E0-5FF1-CD48-ADF2-E54EE149FF0A}">
            <xm:f>OR(Maaned!$BO5="weekend")</xm:f>
            <x14:dxf>
              <font>
                <color theme="1"/>
              </font>
              <fill>
                <patternFill>
                  <bgColor theme="0" tint="-0.14996795556505021"/>
                </patternFill>
              </fill>
            </x14:dxf>
          </x14:cfRule>
          <xm:sqref>AK3:AN33</xm:sqref>
        </x14:conditionalFormatting>
        <x14:conditionalFormatting xmlns:xm="http://schemas.microsoft.com/office/excel/2006/main">
          <x14:cfRule type="expression" priority="5" id="{629605F0-FA0A-AE47-8202-D84AA76A5125}">
            <xm:f>OR(Maaned!$BV5="Rul 4")</xm:f>
            <x14:dxf>
              <font>
                <color theme="1"/>
              </font>
              <fill>
                <patternFill>
                  <bgColor theme="5" tint="-0.24994659260841701"/>
                </patternFill>
              </fill>
            </x14:dxf>
          </x14:cfRule>
          <x14:cfRule type="expression" priority="6" id="{3C9D5BBB-99F4-0D4F-BEF3-69DA38C9212D}">
            <xm:f>OR(Maaned!$BV5="Rul 3")</xm:f>
            <x14:dxf>
              <font>
                <color theme="1"/>
              </font>
              <fill>
                <patternFill>
                  <bgColor theme="5" tint="0.39994506668294322"/>
                </patternFill>
              </fill>
            </x14:dxf>
          </x14:cfRule>
          <x14:cfRule type="expression" priority="7" id="{540AE98E-4FF3-D042-AB0B-B808CB260390}">
            <xm:f>OR(Maaned!$BV5="Rul 2")</xm:f>
            <x14:dxf>
              <font>
                <color theme="1"/>
              </font>
              <fill>
                <patternFill>
                  <bgColor theme="5" tint="0.59996337778862885"/>
                </patternFill>
              </fill>
            </x14:dxf>
          </x14:cfRule>
          <x14:cfRule type="expression" priority="8" id="{0DD8D8A5-7514-BA49-9F40-5E621C7383F2}">
            <xm:f>OR(Maaned!$BV5="Rul 1")</xm:f>
            <x14:dxf>
              <font>
                <color theme="1"/>
              </font>
              <fill>
                <patternFill>
                  <bgColor theme="5" tint="0.79998168889431442"/>
                </patternFill>
              </fill>
            </x14:dxf>
          </x14:cfRule>
          <x14:cfRule type="expression" priority="87" id="{DA6774DE-F4DC-2B45-9252-1B48D649E6EF}">
            <xm:f>OR(Maaned!$BV5="Ikke relevant")</xm:f>
            <x14:dxf>
              <font>
                <color theme="0"/>
              </font>
              <fill>
                <patternFill>
                  <bgColor theme="1"/>
                </patternFill>
              </fill>
            </x14:dxf>
          </x14:cfRule>
          <x14:cfRule type="expression" priority="88" id="{DA472B47-1D1B-3F45-BD45-FA44D6026B18}">
            <xm:f>OR(Maaned!$BV5="Nul-dag")</xm:f>
            <x14:dxf>
              <font>
                <color theme="1"/>
              </font>
              <fill>
                <patternFill>
                  <bgColor theme="9" tint="0.79998168889431442"/>
                </patternFill>
              </fill>
            </x14:dxf>
          </x14:cfRule>
          <x14:cfRule type="expression" priority="89" id="{A85BF475-BDEA-A84F-9431-EF8B549D2044}">
            <xm:f>OR(Maaned!$BV5="Feriedag")</xm:f>
            <x14:dxf>
              <font>
                <color theme="1"/>
              </font>
              <fill>
                <patternFill>
                  <bgColor theme="9" tint="0.39994506668294322"/>
                </patternFill>
              </fill>
            </x14:dxf>
          </x14:cfRule>
          <x14:cfRule type="expression" priority="90" id="{A9D93CAD-6900-7D4C-9313-9303FD5D6D7E}">
            <xm:f>OR(Maaned!$BV5="SH-dag")</xm:f>
            <x14:dxf>
              <font>
                <color rgb="FF9C0006"/>
              </font>
              <fill>
                <patternFill>
                  <bgColor rgb="FFFF2F92"/>
                </patternFill>
              </fill>
            </x14:dxf>
          </x14:cfRule>
          <x14:cfRule type="expression" priority="91" id="{3B51F722-C761-4944-9EC4-279CD0CDE4B8}">
            <xm:f>OR(Maaned!$BV5="Normal uge 1")</xm:f>
            <x14:dxf>
              <font>
                <color theme="1"/>
              </font>
              <fill>
                <patternFill patternType="none">
                  <bgColor auto="1"/>
                </patternFill>
              </fill>
            </x14:dxf>
          </x14:cfRule>
          <x14:cfRule type="expression" priority="92" id="{A4CA8B6C-CF08-2149-82BB-F96C467D98E8}">
            <xm:f>OR(Maaned!$BV5="Normal uge 2")</xm:f>
            <x14:dxf>
              <font>
                <color theme="1"/>
              </font>
              <fill>
                <patternFill>
                  <bgColor theme="4" tint="0.79998168889431442"/>
                </patternFill>
              </fill>
            </x14:dxf>
          </x14:cfRule>
          <x14:cfRule type="expression" priority="93" id="{CD98EF26-4C35-C74B-B1F8-5A09A94D4AA6}">
            <xm:f>OR(Maaned!$BV5="Særlig uge 1")</xm:f>
            <x14:dxf>
              <font>
                <color theme="1"/>
              </font>
              <fill>
                <patternFill>
                  <bgColor rgb="FFD883FF"/>
                </patternFill>
              </fill>
            </x14:dxf>
          </x14:cfRule>
          <x14:cfRule type="expression" priority="94" id="{D602D013-AE5F-BD48-8BA4-9FA9945CD53B}">
            <xm:f>OR(Maaned!$BV5="Særlig uge 2")</xm:f>
            <x14:dxf>
              <font>
                <color theme="1"/>
              </font>
              <fill>
                <patternFill>
                  <bgColor rgb="FFE6DFFF"/>
                </patternFill>
              </fill>
            </x14:dxf>
          </x14:cfRule>
          <x14:cfRule type="expression" priority="95" id="{E5628892-CAB4-D546-AE07-5AE30D0AFB6B}">
            <xm:f>OR(Maaned!$BV5="Særlig uge 3")</xm:f>
            <x14:dxf>
              <font>
                <color theme="1"/>
              </font>
              <fill>
                <patternFill>
                  <bgColor rgb="FF7A81FF"/>
                </patternFill>
              </fill>
            </x14:dxf>
          </x14:cfRule>
          <x14:cfRule type="expression" priority="96" id="{FD25C55A-4F97-DF4F-A53C-BA7A0BC6B218}">
            <xm:f>OR(Maaned!$BV5="Særlig uge 4")</xm:f>
            <x14:dxf>
              <font>
                <color theme="1"/>
              </font>
              <fill>
                <patternFill>
                  <bgColor rgb="FF7030A0"/>
                </patternFill>
              </fill>
            </x14:dxf>
          </x14:cfRule>
          <x14:cfRule type="expression" priority="97" id="{99CA5E0C-EB13-E64C-947C-481D4E2454AA}">
            <xm:f>OR(Maaned!$BV5="Koloni")</xm:f>
            <x14:dxf>
              <font>
                <color theme="1"/>
              </font>
              <fill>
                <patternFill>
                  <bgColor theme="7" tint="0.79998168889431442"/>
                </patternFill>
              </fill>
            </x14:dxf>
          </x14:cfRule>
          <x14:cfRule type="expression" priority="98" id="{F92F975C-EB55-1941-B5DB-AADD0526CB3F}">
            <xm:f>OR(Maaned!$BV5="Ekskursion")</xm:f>
            <x14:dxf>
              <font>
                <color theme="1"/>
              </font>
              <fill>
                <patternFill>
                  <bgColor theme="7" tint="0.59996337778862885"/>
                </patternFill>
              </fill>
            </x14:dxf>
          </x14:cfRule>
          <x14:cfRule type="expression" priority="99" id="{A70471E3-C68A-2D4A-BDCE-DAB163698763}">
            <xm:f>OR(Maaned!$BV5="Pæd. dag")</xm:f>
            <x14:dxf>
              <font>
                <color theme="1"/>
              </font>
              <fill>
                <patternFill>
                  <bgColor theme="7" tint="0.39994506668294322"/>
                </patternFill>
              </fill>
            </x14:dxf>
          </x14:cfRule>
          <x14:cfRule type="expression" priority="100" id="{9A39F2CA-56B9-5D41-9B52-2EF684C3BF6B}">
            <xm:f>OR(Maaned!$BV5="weekend")</xm:f>
            <x14:dxf>
              <font>
                <color theme="1"/>
              </font>
              <fill>
                <patternFill>
                  <bgColor theme="0" tint="-0.14996795556505021"/>
                </patternFill>
              </fill>
            </x14:dxf>
          </x14:cfRule>
          <xm:sqref>AO3:AR33</xm:sqref>
        </x14:conditionalFormatting>
        <x14:conditionalFormatting xmlns:xm="http://schemas.microsoft.com/office/excel/2006/main">
          <x14:cfRule type="expression" priority="1" id="{97E1D518-A9C2-1E4E-B7C5-54B159F0BD51}">
            <xm:f>OR(Maaned!$CC5="Rul 4")</xm:f>
            <x14:dxf>
              <font>
                <color theme="1"/>
              </font>
              <fill>
                <patternFill>
                  <bgColor theme="5" tint="-0.24994659260841701"/>
                </patternFill>
              </fill>
            </x14:dxf>
          </x14:cfRule>
          <x14:cfRule type="expression" priority="2" id="{3160AE13-787D-8846-AFF1-8B68A48D10C9}">
            <xm:f>OR(Maaned!$CC5="Rul 3")</xm:f>
            <x14:dxf>
              <font>
                <color theme="1"/>
              </font>
              <fill>
                <patternFill>
                  <bgColor theme="5" tint="0.39994506668294322"/>
                </patternFill>
              </fill>
            </x14:dxf>
          </x14:cfRule>
          <x14:cfRule type="expression" priority="3" id="{0A583F86-352B-4E4F-806F-5B46FBE672CE}">
            <xm:f>OR(Maaned!$CC5="Rul 2")</xm:f>
            <x14:dxf>
              <font>
                <color theme="1"/>
              </font>
              <fill>
                <patternFill>
                  <bgColor theme="5" tint="0.59996337778862885"/>
                </patternFill>
              </fill>
            </x14:dxf>
          </x14:cfRule>
          <x14:cfRule type="expression" priority="4" id="{2B140282-5EF2-F14E-A8CF-3BEB83E3CC1C}">
            <xm:f>OR(Maaned!$CC5="Rul 1")</xm:f>
            <x14:dxf>
              <font>
                <color theme="1"/>
              </font>
              <fill>
                <patternFill>
                  <bgColor theme="5" tint="0.79998168889431442"/>
                </patternFill>
              </fill>
            </x14:dxf>
          </x14:cfRule>
          <x14:cfRule type="expression" priority="73" id="{39E60F3B-6529-1349-A3FE-84C4F0FD78E5}">
            <xm:f>OR(Maaned!$CC5="Ikke relevant")</xm:f>
            <x14:dxf>
              <font>
                <color theme="0"/>
              </font>
              <fill>
                <patternFill>
                  <bgColor theme="1"/>
                </patternFill>
              </fill>
            </x14:dxf>
          </x14:cfRule>
          <x14:cfRule type="expression" priority="74" id="{C4CDD16C-ECAC-1742-8BA7-4CF48A9BFCC8}">
            <xm:f>OR(Maaned!$CC5="Nul-dag")</xm:f>
            <x14:dxf>
              <font>
                <color theme="1"/>
              </font>
              <fill>
                <patternFill>
                  <bgColor theme="9" tint="0.79998168889431442"/>
                </patternFill>
              </fill>
            </x14:dxf>
          </x14:cfRule>
          <x14:cfRule type="expression" priority="75" id="{54B64241-673A-9D4B-B0BF-0CAFDE8663E4}">
            <xm:f>OR(Maaned!$CC5="Feriedag")</xm:f>
            <x14:dxf>
              <font>
                <color theme="1"/>
              </font>
              <fill>
                <patternFill>
                  <bgColor theme="9" tint="0.39994506668294322"/>
                </patternFill>
              </fill>
            </x14:dxf>
          </x14:cfRule>
          <x14:cfRule type="expression" priority="76" id="{9B943A36-5A74-7149-89D5-7453F0E54BE6}">
            <xm:f>OR(Maaned!$CC5="SH-dag")</xm:f>
            <x14:dxf>
              <font>
                <color rgb="FF9C0006"/>
              </font>
              <fill>
                <patternFill>
                  <bgColor rgb="FFFF2F92"/>
                </patternFill>
              </fill>
            </x14:dxf>
          </x14:cfRule>
          <x14:cfRule type="expression" priority="77" id="{17DE7E53-2352-A14C-B17B-0424CB06B3C9}">
            <xm:f>OR(Maaned!$CC5="Normal uge 1")</xm:f>
            <x14:dxf>
              <font>
                <color theme="1"/>
              </font>
              <fill>
                <patternFill patternType="none">
                  <bgColor auto="1"/>
                </patternFill>
              </fill>
            </x14:dxf>
          </x14:cfRule>
          <x14:cfRule type="expression" priority="78" id="{6967CCD2-AC33-6A49-A703-9AFBADE29970}">
            <xm:f>OR(Maaned!$CC5="Normal uge 2")</xm:f>
            <x14:dxf>
              <font>
                <color theme="1"/>
              </font>
              <fill>
                <patternFill>
                  <bgColor theme="4" tint="0.79998168889431442"/>
                </patternFill>
              </fill>
            </x14:dxf>
          </x14:cfRule>
          <x14:cfRule type="expression" priority="79" id="{10E9F8D3-08D2-7A4B-AED1-1E274D543D41}">
            <xm:f>OR(Maaned!$CC5="Særlig uge 1")</xm:f>
            <x14:dxf>
              <font>
                <color theme="1"/>
              </font>
              <fill>
                <patternFill>
                  <bgColor rgb="FFD883FF"/>
                </patternFill>
              </fill>
            </x14:dxf>
          </x14:cfRule>
          <x14:cfRule type="expression" priority="80" id="{42D235FA-0B1B-E244-86C3-4858F85062C4}">
            <xm:f>OR(Maaned!$CC5="Særlig uge 2")</xm:f>
            <x14:dxf>
              <font>
                <color theme="1"/>
              </font>
              <fill>
                <patternFill>
                  <bgColor rgb="FFE6DFFF"/>
                </patternFill>
              </fill>
            </x14:dxf>
          </x14:cfRule>
          <x14:cfRule type="expression" priority="81" id="{BC2CF5FB-BF78-F545-8064-F91689409CCE}">
            <xm:f>OR(Maaned!$CC5="Særlig uge 3")</xm:f>
            <x14:dxf>
              <font>
                <color theme="1"/>
              </font>
              <fill>
                <patternFill>
                  <bgColor rgb="FF7A81FF"/>
                </patternFill>
              </fill>
            </x14:dxf>
          </x14:cfRule>
          <x14:cfRule type="expression" priority="82" id="{BC1BC6B1-AB67-9840-BA85-B3E01A330DCB}">
            <xm:f>OR(Maaned!$CC5="Særlig uge 4")</xm:f>
            <x14:dxf>
              <font>
                <color theme="1"/>
              </font>
              <fill>
                <patternFill>
                  <bgColor rgb="FF7030A0"/>
                </patternFill>
              </fill>
            </x14:dxf>
          </x14:cfRule>
          <x14:cfRule type="expression" priority="83" id="{C710B2E8-1981-EE4B-B8D9-B2110D08D66D}">
            <xm:f>OR(Maaned!$CC5="Koloni")</xm:f>
            <x14:dxf>
              <font>
                <color theme="1"/>
              </font>
              <fill>
                <patternFill>
                  <bgColor theme="7" tint="0.79998168889431442"/>
                </patternFill>
              </fill>
            </x14:dxf>
          </x14:cfRule>
          <x14:cfRule type="expression" priority="84" id="{2874102F-E284-384B-81AC-07E9C97DBE3F}">
            <xm:f>OR(Maaned!$CC5="Ekskursion")</xm:f>
            <x14:dxf>
              <font>
                <color theme="1"/>
              </font>
              <fill>
                <patternFill>
                  <bgColor theme="7" tint="0.59996337778862885"/>
                </patternFill>
              </fill>
            </x14:dxf>
          </x14:cfRule>
          <x14:cfRule type="expression" priority="85" id="{6BFF22EE-E0EA-B04B-91E8-33458B661ABE}">
            <xm:f>OR(Maaned!$CC5="Pæd. dag")</xm:f>
            <x14:dxf>
              <font>
                <color theme="1"/>
              </font>
              <fill>
                <patternFill>
                  <bgColor theme="7" tint="0.39994506668294322"/>
                </patternFill>
              </fill>
            </x14:dxf>
          </x14:cfRule>
          <x14:cfRule type="expression" priority="86" id="{FA84E313-4307-A54D-B1DC-58CE0EE07C62}">
            <xm:f>OR(Maaned!$CC5="weekend")</xm:f>
            <x14:dxf>
              <font>
                <color theme="1"/>
              </font>
              <fill>
                <patternFill>
                  <bgColor theme="0" tint="-0.14996795556505021"/>
                </patternFill>
              </fill>
            </x14:dxf>
          </x14:cfRule>
          <xm:sqref>AS3:AV33</xm:sqref>
        </x14:conditionalFormatting>
        <x14:conditionalFormatting xmlns:xm="http://schemas.microsoft.com/office/excel/2006/main">
          <x14:cfRule type="expression" priority="48" id="{A6996D5C-8D4D-D049-B628-5B26840F1818}">
            <xm:f>OR(Maaned!$K5="Rul 4")</xm:f>
            <x14:dxf>
              <font>
                <color theme="1"/>
              </font>
              <fill>
                <patternFill>
                  <bgColor theme="5" tint="-0.24994659260841701"/>
                </patternFill>
              </fill>
            </x14:dxf>
          </x14:cfRule>
          <x14:cfRule type="expression" priority="49" id="{C7B4C3F3-38C0-E247-914D-2973799B735E}">
            <xm:f>OR(Maaned!$K5="Rul 3")</xm:f>
            <x14:dxf>
              <font>
                <color theme="1"/>
              </font>
              <fill>
                <patternFill>
                  <bgColor theme="5" tint="0.39994506668294322"/>
                </patternFill>
              </fill>
            </x14:dxf>
          </x14:cfRule>
          <x14:cfRule type="expression" priority="50" id="{107FFCD8-D8F8-B949-BB22-D689CB5303B5}">
            <xm:f>OR(Maaned!$K5="Rul 2")</xm:f>
            <x14:dxf>
              <font>
                <color theme="1"/>
              </font>
              <fill>
                <patternFill>
                  <bgColor theme="5" tint="0.59996337778862885"/>
                </patternFill>
              </fill>
            </x14:dxf>
          </x14:cfRule>
          <x14:cfRule type="expression" priority="51" id="{0FF370BA-A7CB-1B40-BF1C-2F7E7A8128C4}">
            <xm:f>OR(Maaned!$K5="Rul 1")</xm:f>
            <x14:dxf>
              <font>
                <color theme="1"/>
              </font>
              <fill>
                <patternFill>
                  <bgColor theme="5" tint="0.79998168889431442"/>
                </patternFill>
              </fill>
            </x14:dxf>
          </x14:cfRule>
          <x14:cfRule type="expression" priority="52" id="{555DBB07-27CA-A647-B180-4FF5246E77D1}">
            <xm:f>OR(Maaned!$K5="Ikke relevant")</xm:f>
            <x14:dxf>
              <font>
                <color theme="0"/>
              </font>
              <fill>
                <patternFill>
                  <bgColor theme="1"/>
                </patternFill>
              </fill>
            </x14:dxf>
          </x14:cfRule>
          <x14:cfRule type="expression" priority="53" id="{9F9C39B5-C86F-284B-88ED-FE8A3F74B29F}">
            <xm:f>OR(Maaned!$K5="Nul-dag")</xm:f>
            <x14:dxf>
              <font>
                <color theme="1"/>
              </font>
              <fill>
                <patternFill>
                  <bgColor theme="9" tint="0.79998168889431442"/>
                </patternFill>
              </fill>
            </x14:dxf>
          </x14:cfRule>
          <x14:cfRule type="expression" priority="54" id="{3DC76A30-6F8D-A948-8425-4CF92614C662}">
            <xm:f>OR(Maaned!$K5="Feriedag")</xm:f>
            <x14:dxf>
              <font>
                <color theme="1"/>
              </font>
              <fill>
                <patternFill>
                  <bgColor theme="9" tint="0.39994506668294322"/>
                </patternFill>
              </fill>
            </x14:dxf>
          </x14:cfRule>
          <x14:cfRule type="expression" priority="55" id="{8B1C3995-1C78-AC48-B7AF-E5EAB0F796E3}">
            <xm:f>OR(Maaned!$K5="SH-dag")</xm:f>
            <x14:dxf>
              <font>
                <color rgb="FF9C0006"/>
              </font>
              <fill>
                <patternFill>
                  <bgColor rgb="FFFF2F92"/>
                </patternFill>
              </fill>
            </x14:dxf>
          </x14:cfRule>
          <x14:cfRule type="expression" priority="56" id="{5E8AD9A0-8A3D-414A-B0E4-8C573270BEB1}">
            <xm:f>OR(Maaned!$K5="Normal uge 1")</xm:f>
            <x14:dxf>
              <font>
                <color theme="1"/>
              </font>
              <fill>
                <patternFill patternType="none">
                  <bgColor auto="1"/>
                </patternFill>
              </fill>
            </x14:dxf>
          </x14:cfRule>
          <x14:cfRule type="expression" priority="57" id="{F2D73A46-1752-9D4E-B2ED-5CC32C34207F}">
            <xm:f>OR(Maaned!$K5="Normal uge 2")</xm:f>
            <x14:dxf>
              <font>
                <color theme="1"/>
              </font>
              <fill>
                <patternFill>
                  <bgColor theme="4" tint="0.79998168889431442"/>
                </patternFill>
              </fill>
            </x14:dxf>
          </x14:cfRule>
          <x14:cfRule type="expression" priority="58" id="{979144E9-C8AC-C441-AA02-F361A423DECB}">
            <xm:f>OR(Maaned!$K5="Særlig uge 1")</xm:f>
            <x14:dxf>
              <font>
                <color theme="1"/>
              </font>
              <fill>
                <patternFill>
                  <bgColor rgb="FFD883FF"/>
                </patternFill>
              </fill>
            </x14:dxf>
          </x14:cfRule>
          <x14:cfRule type="expression" priority="59" id="{95D5C42D-4F5E-E249-8C7F-8903D4A7DB47}">
            <xm:f>OR(Maaned!$K5="Særlig uge 2")</xm:f>
            <x14:dxf>
              <font>
                <color theme="1"/>
              </font>
              <fill>
                <patternFill>
                  <bgColor rgb="FFE6DFFF"/>
                </patternFill>
              </fill>
            </x14:dxf>
          </x14:cfRule>
          <x14:cfRule type="expression" priority="60" id="{7786F7FB-5A61-D146-8945-1163C6A96A1F}">
            <xm:f>OR(Maaned!$K5="Særlig uge 3")</xm:f>
            <x14:dxf>
              <font>
                <color theme="1"/>
              </font>
              <fill>
                <patternFill>
                  <bgColor rgb="FF7A81FF"/>
                </patternFill>
              </fill>
            </x14:dxf>
          </x14:cfRule>
          <x14:cfRule type="expression" priority="61" id="{D62F8A3F-A6AF-B94B-A047-9AECA1307F03}">
            <xm:f>OR(Maaned!$K5="Særlig uge 4")</xm:f>
            <x14:dxf>
              <font>
                <color theme="1"/>
              </font>
              <fill>
                <patternFill>
                  <bgColor rgb="FF7030A0"/>
                </patternFill>
              </fill>
            </x14:dxf>
          </x14:cfRule>
          <x14:cfRule type="expression" priority="62" id="{04BD2507-3666-9140-8504-9279EE70A335}">
            <xm:f>OR(Maaned!$K5="Koloni")</xm:f>
            <x14:dxf>
              <font>
                <color theme="1"/>
              </font>
              <fill>
                <patternFill>
                  <bgColor theme="7" tint="0.79998168889431442"/>
                </patternFill>
              </fill>
            </x14:dxf>
          </x14:cfRule>
          <x14:cfRule type="expression" priority="63" id="{599F531C-96B6-C74B-8F28-F124E436B7A5}">
            <xm:f>OR(Maaned!$K5="Ekskursion")</xm:f>
            <x14:dxf>
              <font>
                <color theme="1"/>
              </font>
              <fill>
                <patternFill>
                  <bgColor theme="7" tint="0.59996337778862885"/>
                </patternFill>
              </fill>
            </x14:dxf>
          </x14:cfRule>
          <x14:cfRule type="expression" priority="64" id="{B8037F8A-0AFA-C241-96EE-BEFF1DE6AE90}">
            <xm:f>OR(Maaned!$K5="Pæd.dag")</xm:f>
            <x14:dxf>
              <font>
                <color theme="1"/>
              </font>
              <fill>
                <patternFill>
                  <bgColor theme="7" tint="0.39994506668294322"/>
                </patternFill>
              </fill>
            </x14:dxf>
          </x14:cfRule>
          <x14:cfRule type="expression" priority="65" id="{2AA4BBB5-3692-514D-B80A-614D90DFB026}">
            <xm:f>OR(Maaned!$K5="weekend")</xm:f>
            <x14:dxf>
              <font>
                <color theme="1"/>
              </font>
              <fill>
                <patternFill>
                  <bgColor theme="0" tint="-0.14996795556505021"/>
                </patternFill>
              </fill>
            </x14:dxf>
          </x14:cfRule>
          <xm:sqref>E3:H32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45"/>
  <sheetViews>
    <sheetView showGridLines="0" zoomScale="125" zoomScaleNormal="80" zoomScalePageLayoutView="80" workbookViewId="0">
      <selection activeCell="X15" sqref="X15"/>
    </sheetView>
  </sheetViews>
  <sheetFormatPr baseColWidth="10" defaultRowHeight="36" customHeight="1"/>
  <cols>
    <col min="1" max="2" width="3.7109375" style="238" customWidth="1"/>
    <col min="3" max="3" width="9.42578125" style="239" customWidth="1"/>
    <col min="4" max="4" width="17.28515625" style="239" customWidth="1"/>
    <col min="5" max="5" width="3.42578125" style="240" customWidth="1"/>
    <col min="6" max="7" width="3.7109375" style="238" customWidth="1"/>
    <col min="8" max="8" width="8.5703125" style="239" customWidth="1"/>
    <col min="9" max="9" width="17.28515625" style="239" customWidth="1"/>
    <col min="10" max="10" width="3.42578125" style="240" customWidth="1"/>
    <col min="11" max="12" width="3.7109375" style="238" customWidth="1"/>
    <col min="13" max="13" width="9.140625" style="239" customWidth="1"/>
    <col min="14" max="14" width="17.28515625" style="239" customWidth="1"/>
    <col min="15" max="15" width="3.42578125" style="240" customWidth="1"/>
    <col min="16" max="17" width="3.7109375" style="238" customWidth="1"/>
    <col min="18" max="18" width="9.140625" style="239" customWidth="1"/>
    <col min="19" max="19" width="17.28515625" style="239" customWidth="1"/>
    <col min="20" max="20" width="3.7109375" style="240" customWidth="1"/>
    <col min="21" max="21" width="4.85546875" style="238" customWidth="1"/>
    <col min="22" max="22" width="3.7109375" style="238" customWidth="1"/>
    <col min="23" max="23" width="9.5703125" style="239" customWidth="1"/>
    <col min="24" max="24" width="17.42578125" style="239" customWidth="1"/>
    <col min="25" max="25" width="3.42578125" style="240" customWidth="1"/>
    <col min="26" max="27" width="3.7109375" style="238" customWidth="1"/>
    <col min="28" max="28" width="8.85546875" style="239" customWidth="1"/>
    <col min="29" max="29" width="17.42578125" style="239" customWidth="1"/>
    <col min="30" max="30" width="2.7109375" style="240" customWidth="1"/>
    <col min="31" max="34" width="10.7109375" style="229"/>
    <col min="35" max="35" width="22.85546875" style="229" customWidth="1"/>
    <col min="36" max="16384" width="10.7109375" style="229"/>
  </cols>
  <sheetData>
    <row r="1" spans="1:30" s="214" customFormat="1" ht="36" customHeight="1" thickBot="1">
      <c r="A1" s="183" t="str">
        <f>"ÅRSKALENDER  for  "&amp;UPPER(Maaned!A1)&amp;"  "&amp;Maaned!A3&amp;" - "&amp;TEXT(Maaned!A3-1999,"00")</f>
        <v>ÅRSKALENDER  for    2022 - 23</v>
      </c>
      <c r="B1" s="209"/>
      <c r="C1" s="210"/>
      <c r="D1" s="210"/>
      <c r="E1" s="211"/>
      <c r="F1" s="212"/>
      <c r="G1" s="209"/>
      <c r="H1" s="210"/>
      <c r="I1" s="210"/>
      <c r="J1" s="211"/>
      <c r="K1" s="212"/>
      <c r="L1" s="209"/>
      <c r="M1" s="210"/>
      <c r="N1" s="210"/>
      <c r="O1" s="211"/>
      <c r="P1" s="212"/>
      <c r="Q1" s="209"/>
      <c r="R1" s="210"/>
      <c r="S1" s="210"/>
      <c r="T1" s="211"/>
      <c r="U1" s="212"/>
      <c r="V1" s="209"/>
      <c r="W1" s="210"/>
      <c r="X1" s="210"/>
      <c r="Y1" s="211"/>
      <c r="Z1" s="212"/>
      <c r="AA1" s="209"/>
      <c r="AB1" s="210"/>
      <c r="AC1" s="210"/>
      <c r="AD1" s="213"/>
    </row>
    <row r="2" spans="1:30" s="221" customFormat="1" ht="23" customHeight="1">
      <c r="A2" s="215" t="s">
        <v>44</v>
      </c>
      <c r="B2" s="216"/>
      <c r="C2" s="217"/>
      <c r="D2" s="217"/>
      <c r="E2" s="218"/>
      <c r="F2" s="215" t="s">
        <v>45</v>
      </c>
      <c r="G2" s="216"/>
      <c r="H2" s="217"/>
      <c r="I2" s="217"/>
      <c r="J2" s="218"/>
      <c r="K2" s="219" t="s">
        <v>46</v>
      </c>
      <c r="L2" s="216"/>
      <c r="M2" s="217"/>
      <c r="N2" s="217"/>
      <c r="O2" s="218"/>
      <c r="P2" s="215" t="s">
        <v>47</v>
      </c>
      <c r="Q2" s="216"/>
      <c r="R2" s="217"/>
      <c r="S2" s="217"/>
      <c r="T2" s="220"/>
      <c r="U2" s="401" t="s">
        <v>48</v>
      </c>
      <c r="V2" s="402"/>
      <c r="W2" s="403"/>
      <c r="X2" s="403"/>
      <c r="Y2" s="404"/>
      <c r="Z2" s="401" t="s">
        <v>49</v>
      </c>
      <c r="AA2" s="402"/>
      <c r="AB2" s="403"/>
      <c r="AC2" s="403"/>
      <c r="AD2" s="413"/>
    </row>
    <row r="3" spans="1:30" ht="23" customHeight="1">
      <c r="A3" s="222">
        <f>Maaned!B5</f>
        <v>1</v>
      </c>
      <c r="B3" s="223" t="str">
        <f>Maaned!C5</f>
        <v>ma</v>
      </c>
      <c r="C3" s="224" t="str">
        <f>Maaned!D5</f>
        <v>Normal uge 1</v>
      </c>
      <c r="D3" s="225" t="str">
        <f>IF(Maaned!F5&gt;0,Maaned!F5,"")</f>
        <v/>
      </c>
      <c r="E3" s="226">
        <f>Maaned!E5</f>
        <v>31.285714285714285</v>
      </c>
      <c r="F3" s="399">
        <f>Maaned!I5</f>
        <v>1</v>
      </c>
      <c r="G3" s="407" t="str">
        <f>Maaned!J5</f>
        <v>to</v>
      </c>
      <c r="H3" s="407" t="str">
        <f>Maaned!K5</f>
        <v>Normal uge 1</v>
      </c>
      <c r="I3" s="227" t="str">
        <f>IF(Maaned!M5&gt;0,Maaned!M5,"")</f>
        <v/>
      </c>
      <c r="J3" s="228" t="str">
        <f>Maaned!L5</f>
        <v/>
      </c>
      <c r="K3" s="222">
        <f>Maaned!P5</f>
        <v>1</v>
      </c>
      <c r="L3" s="223" t="str">
        <f>Maaned!Q5</f>
        <v>lø</v>
      </c>
      <c r="M3" s="224" t="str">
        <f>Maaned!R5</f>
        <v>Weekend</v>
      </c>
      <c r="N3" s="227" t="str">
        <f>IF(Maaned!T5&gt;0,Maaned!T5,"")</f>
        <v/>
      </c>
      <c r="O3" s="226" t="str">
        <f>Maaned!S5</f>
        <v/>
      </c>
      <c r="P3" s="399">
        <f>Maaned!W5</f>
        <v>1</v>
      </c>
      <c r="Q3" s="407" t="str">
        <f>Maaned!X5</f>
        <v>ti</v>
      </c>
      <c r="R3" s="407" t="str">
        <f>Maaned!Y5</f>
        <v>Normal uge 1</v>
      </c>
      <c r="S3" s="227" t="str">
        <f>IF(Maaned!AA5&gt;0,Maaned!AA5,"")</f>
        <v/>
      </c>
      <c r="T3" s="408" t="str">
        <f>Maaned!Z5</f>
        <v/>
      </c>
      <c r="U3" s="399">
        <f>Maaned!AD5</f>
        <v>1</v>
      </c>
      <c r="V3" s="407" t="str">
        <f>Maaned!AE5</f>
        <v>to</v>
      </c>
      <c r="W3" s="407" t="str">
        <f>Maaned!AF5</f>
        <v>Normal uge 1</v>
      </c>
      <c r="X3" s="227" t="str">
        <f>IF(Maaned!AH5&gt;0,Maaned!AH5,"")</f>
        <v/>
      </c>
      <c r="Y3" s="408" t="str">
        <f>Maaned!AG5</f>
        <v/>
      </c>
      <c r="Z3" s="399">
        <f>Maaned!AK5</f>
        <v>1</v>
      </c>
      <c r="AA3" s="407" t="str">
        <f>Maaned!AL5</f>
        <v>sø</v>
      </c>
      <c r="AB3" s="407" t="str">
        <f>Maaned!AM5</f>
        <v>Weekend</v>
      </c>
      <c r="AC3" s="227" t="str">
        <f>IF(Maaned!AO5&gt;0,Maaned!AO5,"")</f>
        <v>Nytårsdag</v>
      </c>
      <c r="AD3" s="228" t="str">
        <f>Maaned!AN5</f>
        <v/>
      </c>
    </row>
    <row r="4" spans="1:30" ht="23" customHeight="1">
      <c r="A4" s="222">
        <f>Maaned!B6</f>
        <v>2</v>
      </c>
      <c r="B4" s="223" t="str">
        <f>Maaned!C6</f>
        <v>ti</v>
      </c>
      <c r="C4" s="224" t="str">
        <f>Maaned!D6</f>
        <v>Normal uge 1</v>
      </c>
      <c r="D4" s="230" t="str">
        <f>IF(Maaned!F6&gt;0,Maaned!F6,"")</f>
        <v/>
      </c>
      <c r="E4" s="226" t="str">
        <f>Maaned!E6</f>
        <v/>
      </c>
      <c r="F4" s="400">
        <f>Maaned!I6</f>
        <v>2</v>
      </c>
      <c r="G4" s="409" t="str">
        <f>Maaned!J6</f>
        <v>fr</v>
      </c>
      <c r="H4" s="409" t="str">
        <f>Maaned!K6</f>
        <v>Normal uge 1</v>
      </c>
      <c r="I4" s="231" t="str">
        <f>IF(Maaned!M6&gt;0,Maaned!M6,"")</f>
        <v/>
      </c>
      <c r="J4" s="232" t="str">
        <f>Maaned!L6</f>
        <v/>
      </c>
      <c r="K4" s="222">
        <f>Maaned!P6</f>
        <v>2</v>
      </c>
      <c r="L4" s="223" t="str">
        <f>Maaned!Q6</f>
        <v>sø</v>
      </c>
      <c r="M4" s="224" t="str">
        <f>Maaned!R6</f>
        <v>Weekend</v>
      </c>
      <c r="N4" s="231" t="str">
        <f>IF(Maaned!T6&gt;0,Maaned!T6,"")</f>
        <v/>
      </c>
      <c r="O4" s="226" t="str">
        <f>Maaned!S6</f>
        <v/>
      </c>
      <c r="P4" s="400">
        <f>Maaned!W6</f>
        <v>2</v>
      </c>
      <c r="Q4" s="409" t="str">
        <f>Maaned!X6</f>
        <v>on</v>
      </c>
      <c r="R4" s="409" t="str">
        <f>Maaned!Y6</f>
        <v>Normal uge 1</v>
      </c>
      <c r="S4" s="231" t="str">
        <f>IF(Maaned!AA6&gt;0,Maaned!AA6,"")</f>
        <v/>
      </c>
      <c r="T4" s="226" t="str">
        <f>Maaned!Z6</f>
        <v/>
      </c>
      <c r="U4" s="400">
        <f>Maaned!AD6</f>
        <v>2</v>
      </c>
      <c r="V4" s="409" t="str">
        <f>Maaned!AE6</f>
        <v>fr</v>
      </c>
      <c r="W4" s="409" t="str">
        <f>Maaned!AF6</f>
        <v>Normal uge 1</v>
      </c>
      <c r="X4" s="231" t="str">
        <f>IF(Maaned!AH6&gt;0,Maaned!AH6,"")</f>
        <v/>
      </c>
      <c r="Y4" s="226" t="str">
        <f>Maaned!AG6</f>
        <v/>
      </c>
      <c r="Z4" s="400">
        <f>Maaned!AK6</f>
        <v>2</v>
      </c>
      <c r="AA4" s="409" t="str">
        <f>Maaned!AL6</f>
        <v>ma</v>
      </c>
      <c r="AB4" s="409" t="str">
        <f>Maaned!AM6</f>
        <v>Normal uge 1</v>
      </c>
      <c r="AC4" s="231" t="str">
        <f>IF(Maaned!AO6&gt;0,Maaned!AO6,"")</f>
        <v/>
      </c>
      <c r="AD4" s="232">
        <f>Maaned!AN6</f>
        <v>1.1428571428571428</v>
      </c>
    </row>
    <row r="5" spans="1:30" ht="23" customHeight="1">
      <c r="A5" s="222">
        <f>Maaned!B7</f>
        <v>3</v>
      </c>
      <c r="B5" s="223" t="str">
        <f>Maaned!C7</f>
        <v>on</v>
      </c>
      <c r="C5" s="224" t="str">
        <f>Maaned!D7</f>
        <v>Normal uge 1</v>
      </c>
      <c r="D5" s="230" t="str">
        <f>IF(Maaned!F7&gt;0,Maaned!F7,"")</f>
        <v/>
      </c>
      <c r="E5" s="226" t="str">
        <f>Maaned!E7</f>
        <v/>
      </c>
      <c r="F5" s="400">
        <f>Maaned!I7</f>
        <v>3</v>
      </c>
      <c r="G5" s="409" t="str">
        <f>Maaned!J7</f>
        <v>lø</v>
      </c>
      <c r="H5" s="409" t="str">
        <f>Maaned!K7</f>
        <v>Weekend</v>
      </c>
      <c r="I5" s="231" t="str">
        <f>IF(Maaned!M7&gt;0,Maaned!M7,"")</f>
        <v/>
      </c>
      <c r="J5" s="232" t="str">
        <f>Maaned!L7</f>
        <v/>
      </c>
      <c r="K5" s="222">
        <f>Maaned!P7</f>
        <v>3</v>
      </c>
      <c r="L5" s="223" t="str">
        <f>Maaned!Q7</f>
        <v>ma</v>
      </c>
      <c r="M5" s="224" t="str">
        <f>Maaned!R7</f>
        <v>Normal uge 1</v>
      </c>
      <c r="N5" s="231" t="str">
        <f>IF(Maaned!T7&gt;0,Maaned!T7,"")</f>
        <v/>
      </c>
      <c r="O5" s="226">
        <f>Maaned!S7</f>
        <v>40.285714285714285</v>
      </c>
      <c r="P5" s="400">
        <f>Maaned!W7</f>
        <v>3</v>
      </c>
      <c r="Q5" s="409" t="str">
        <f>Maaned!X7</f>
        <v>to</v>
      </c>
      <c r="R5" s="409" t="str">
        <f>Maaned!Y5</f>
        <v>Normal uge 1</v>
      </c>
      <c r="S5" s="231" t="str">
        <f>IF(Maaned!AA7&gt;0,Maaned!AA7,"")</f>
        <v/>
      </c>
      <c r="T5" s="226" t="str">
        <f>Maaned!Z7</f>
        <v/>
      </c>
      <c r="U5" s="400">
        <f>Maaned!AD7</f>
        <v>3</v>
      </c>
      <c r="V5" s="409" t="str">
        <f>Maaned!AE7</f>
        <v>lø</v>
      </c>
      <c r="W5" s="409" t="str">
        <f>Maaned!AF7</f>
        <v>Weekend</v>
      </c>
      <c r="X5" s="231" t="str">
        <f>IF(Maaned!AH7&gt;0,Maaned!AH7,"")</f>
        <v/>
      </c>
      <c r="Y5" s="226" t="str">
        <f>Maaned!AG7</f>
        <v/>
      </c>
      <c r="Z5" s="400">
        <f>Maaned!AK7</f>
        <v>3</v>
      </c>
      <c r="AA5" s="409" t="str">
        <f>Maaned!AL7</f>
        <v>ti</v>
      </c>
      <c r="AB5" s="409" t="str">
        <f>Maaned!AM7</f>
        <v>Normal uge 1</v>
      </c>
      <c r="AC5" s="231" t="str">
        <f>IF(Maaned!AO7&gt;0,Maaned!AO7,"")</f>
        <v/>
      </c>
      <c r="AD5" s="232" t="str">
        <f>Maaned!AN7</f>
        <v/>
      </c>
    </row>
    <row r="6" spans="1:30" ht="23" customHeight="1">
      <c r="A6" s="222">
        <f>Maaned!B8</f>
        <v>4</v>
      </c>
      <c r="B6" s="223" t="str">
        <f>Maaned!C8</f>
        <v>to</v>
      </c>
      <c r="C6" s="224" t="str">
        <f>Maaned!D8</f>
        <v>Normal uge 1</v>
      </c>
      <c r="D6" s="230" t="str">
        <f>IF(Maaned!F8&gt;0,Maaned!F8,"")</f>
        <v/>
      </c>
      <c r="E6" s="226" t="str">
        <f>Maaned!E8</f>
        <v/>
      </c>
      <c r="F6" s="400">
        <f>Maaned!I8</f>
        <v>4</v>
      </c>
      <c r="G6" s="409" t="str">
        <f>Maaned!J8</f>
        <v>sø</v>
      </c>
      <c r="H6" s="409" t="str">
        <f>Maaned!K8</f>
        <v>Weekend</v>
      </c>
      <c r="I6" s="231" t="str">
        <f>IF(Maaned!M8&gt;0,Maaned!M8,"")</f>
        <v/>
      </c>
      <c r="J6" s="232" t="str">
        <f>Maaned!L8</f>
        <v/>
      </c>
      <c r="K6" s="222">
        <f>Maaned!P8</f>
        <v>4</v>
      </c>
      <c r="L6" s="223" t="str">
        <f>Maaned!Q8</f>
        <v>ti</v>
      </c>
      <c r="M6" s="224" t="str">
        <f>Maaned!R8</f>
        <v>Normal uge 1</v>
      </c>
      <c r="N6" s="231" t="str">
        <f>IF(Maaned!T8&gt;0,Maaned!T8,"")</f>
        <v/>
      </c>
      <c r="O6" s="226" t="str">
        <f>Maaned!S8</f>
        <v/>
      </c>
      <c r="P6" s="400">
        <f>Maaned!W8</f>
        <v>4</v>
      </c>
      <c r="Q6" s="409" t="str">
        <f>Maaned!X8</f>
        <v>fr</v>
      </c>
      <c r="R6" s="409" t="str">
        <f>Maaned!Y8</f>
        <v>Normal uge 1</v>
      </c>
      <c r="S6" s="231" t="str">
        <f>IF(Maaned!AA8&gt;0,Maaned!AA8,"")</f>
        <v/>
      </c>
      <c r="T6" s="226" t="str">
        <f>Maaned!Z8</f>
        <v/>
      </c>
      <c r="U6" s="400">
        <f>Maaned!AD8</f>
        <v>4</v>
      </c>
      <c r="V6" s="409" t="str">
        <f>Maaned!AE8</f>
        <v>sø</v>
      </c>
      <c r="W6" s="409" t="str">
        <f>Maaned!AF8</f>
        <v>Weekend</v>
      </c>
      <c r="X6" s="231" t="str">
        <f>IF(Maaned!AH8&gt;0,Maaned!AH8,"")</f>
        <v/>
      </c>
      <c r="Y6" s="226" t="str">
        <f>Maaned!AG8</f>
        <v/>
      </c>
      <c r="Z6" s="400">
        <f>Maaned!AK8</f>
        <v>4</v>
      </c>
      <c r="AA6" s="409" t="str">
        <f>Maaned!AL8</f>
        <v>on</v>
      </c>
      <c r="AB6" s="409" t="str">
        <f>Maaned!AM8</f>
        <v>Normal uge 1</v>
      </c>
      <c r="AC6" s="231" t="str">
        <f>IF(Maaned!AO8&gt;0,Maaned!AO8,"")</f>
        <v/>
      </c>
      <c r="AD6" s="232" t="str">
        <f>Maaned!AN8</f>
        <v/>
      </c>
    </row>
    <row r="7" spans="1:30" ht="23" customHeight="1">
      <c r="A7" s="222">
        <f>Maaned!B9</f>
        <v>5</v>
      </c>
      <c r="B7" s="223" t="str">
        <f>Maaned!C9</f>
        <v>fr</v>
      </c>
      <c r="C7" s="224" t="str">
        <f>Maaned!D9</f>
        <v>Normal uge 1</v>
      </c>
      <c r="D7" s="230" t="str">
        <f>IF(Maaned!F9&gt;0,Maaned!F9,"")</f>
        <v/>
      </c>
      <c r="E7" s="226" t="str">
        <f>Maaned!E9</f>
        <v/>
      </c>
      <c r="F7" s="400">
        <f>Maaned!I9</f>
        <v>5</v>
      </c>
      <c r="G7" s="409" t="str">
        <f>Maaned!J9</f>
        <v>ma</v>
      </c>
      <c r="H7" s="409" t="str">
        <f>Maaned!K9</f>
        <v>Normal uge 1</v>
      </c>
      <c r="I7" s="231" t="str">
        <f>IF(Maaned!M9&gt;0,Maaned!M9,"")</f>
        <v/>
      </c>
      <c r="J7" s="232">
        <f>Maaned!L9</f>
        <v>36.285714285714285</v>
      </c>
      <c r="K7" s="222">
        <f>Maaned!P9</f>
        <v>5</v>
      </c>
      <c r="L7" s="223" t="str">
        <f>Maaned!Q9</f>
        <v>on</v>
      </c>
      <c r="M7" s="224" t="str">
        <f>Maaned!R9</f>
        <v>Normal uge 1</v>
      </c>
      <c r="N7" s="231" t="str">
        <f>IF(Maaned!T9&gt;0,Maaned!T9,"")</f>
        <v/>
      </c>
      <c r="O7" s="226" t="str">
        <f>Maaned!S9</f>
        <v/>
      </c>
      <c r="P7" s="400">
        <f>Maaned!W9</f>
        <v>5</v>
      </c>
      <c r="Q7" s="409" t="str">
        <f>Maaned!X9</f>
        <v>lø</v>
      </c>
      <c r="R7" s="409" t="str">
        <f>Maaned!Y9</f>
        <v>Weekend</v>
      </c>
      <c r="S7" s="231" t="str">
        <f>IF(Maaned!AA9&gt;0,Maaned!AA9,"")</f>
        <v/>
      </c>
      <c r="T7" s="226" t="str">
        <f>Maaned!Z9</f>
        <v/>
      </c>
      <c r="U7" s="400">
        <f>Maaned!AD9</f>
        <v>5</v>
      </c>
      <c r="V7" s="409" t="str">
        <f>Maaned!AE9</f>
        <v>ma</v>
      </c>
      <c r="W7" s="409" t="str">
        <f>Maaned!AF9</f>
        <v>Normal uge 1</v>
      </c>
      <c r="X7" s="231" t="str">
        <f>IF(Maaned!AH9&gt;0,Maaned!AH9,"")</f>
        <v/>
      </c>
      <c r="Y7" s="226">
        <f>Maaned!AG9</f>
        <v>49.285714285714285</v>
      </c>
      <c r="Z7" s="400">
        <f>Maaned!AK9</f>
        <v>5</v>
      </c>
      <c r="AA7" s="409" t="str">
        <f>Maaned!AL9</f>
        <v>to</v>
      </c>
      <c r="AB7" s="409" t="str">
        <f>Maaned!AM9</f>
        <v>Normal uge 1</v>
      </c>
      <c r="AC7" s="231" t="str">
        <f>IF(Maaned!AO9&gt;0,Maaned!AO9,"")</f>
        <v/>
      </c>
      <c r="AD7" s="232" t="str">
        <f>Maaned!AN9</f>
        <v/>
      </c>
    </row>
    <row r="8" spans="1:30" ht="23" customHeight="1">
      <c r="A8" s="222">
        <f>Maaned!B10</f>
        <v>6</v>
      </c>
      <c r="B8" s="223" t="str">
        <f>Maaned!C10</f>
        <v>lø</v>
      </c>
      <c r="C8" s="224" t="str">
        <f>Maaned!D10</f>
        <v>Weekend</v>
      </c>
      <c r="D8" s="230" t="str">
        <f>IF(Maaned!F10&gt;0,Maaned!F10,"")</f>
        <v/>
      </c>
      <c r="E8" s="226" t="str">
        <f>Maaned!E10</f>
        <v/>
      </c>
      <c r="F8" s="400">
        <f>Maaned!I10</f>
        <v>6</v>
      </c>
      <c r="G8" s="409" t="str">
        <f>Maaned!J10</f>
        <v>ti</v>
      </c>
      <c r="H8" s="409" t="str">
        <f>Maaned!K10</f>
        <v>Normal uge 1</v>
      </c>
      <c r="I8" s="231" t="str">
        <f>IF(Maaned!M10&gt;0,Maaned!M10,"")</f>
        <v/>
      </c>
      <c r="J8" s="232" t="str">
        <f>Maaned!L10</f>
        <v/>
      </c>
      <c r="K8" s="222">
        <f>Maaned!P10</f>
        <v>6</v>
      </c>
      <c r="L8" s="223" t="str">
        <f>Maaned!Q10</f>
        <v>to</v>
      </c>
      <c r="M8" s="224" t="str">
        <f>Maaned!R10</f>
        <v>Normal uge 1</v>
      </c>
      <c r="N8" s="231" t="str">
        <f>IF(Maaned!T10&gt;0,Maaned!T10,"")</f>
        <v/>
      </c>
      <c r="O8" s="226" t="str">
        <f>Maaned!S10</f>
        <v/>
      </c>
      <c r="P8" s="400">
        <f>Maaned!W10</f>
        <v>6</v>
      </c>
      <c r="Q8" s="409" t="str">
        <f>Maaned!X10</f>
        <v>sø</v>
      </c>
      <c r="R8" s="409" t="str">
        <f>Maaned!Y10</f>
        <v>Weekend</v>
      </c>
      <c r="S8" s="231" t="str">
        <f>IF(Maaned!AA10&gt;0,Maaned!AA10,"")</f>
        <v/>
      </c>
      <c r="T8" s="226" t="str">
        <f>Maaned!Z10</f>
        <v/>
      </c>
      <c r="U8" s="400">
        <f>Maaned!AD10</f>
        <v>6</v>
      </c>
      <c r="V8" s="409" t="str">
        <f>Maaned!AE10</f>
        <v>ti</v>
      </c>
      <c r="W8" s="409" t="str">
        <f>Maaned!AF10</f>
        <v>Normal uge 1</v>
      </c>
      <c r="X8" s="231" t="str">
        <f>IF(Maaned!AH10&gt;0,Maaned!AH10,"")</f>
        <v/>
      </c>
      <c r="Y8" s="226" t="str">
        <f>Maaned!AG10</f>
        <v/>
      </c>
      <c r="Z8" s="400">
        <f>Maaned!AK10</f>
        <v>6</v>
      </c>
      <c r="AA8" s="409" t="str">
        <f>Maaned!AL10</f>
        <v>fr</v>
      </c>
      <c r="AB8" s="409" t="str">
        <f>Maaned!AM10</f>
        <v>Normal uge 1</v>
      </c>
      <c r="AC8" s="231" t="str">
        <f>IF(Maaned!AO10&gt;0,Maaned!AO10,"")</f>
        <v/>
      </c>
      <c r="AD8" s="232" t="str">
        <f>Maaned!AN10</f>
        <v/>
      </c>
    </row>
    <row r="9" spans="1:30" ht="23" customHeight="1">
      <c r="A9" s="222">
        <f>Maaned!B11</f>
        <v>7</v>
      </c>
      <c r="B9" s="223" t="str">
        <f>Maaned!C11</f>
        <v>sø</v>
      </c>
      <c r="C9" s="224" t="str">
        <f>Maaned!D11</f>
        <v>Weekend</v>
      </c>
      <c r="D9" s="230" t="str">
        <f>IF(Maaned!F11&gt;0,Maaned!F11,"")</f>
        <v/>
      </c>
      <c r="E9" s="226" t="str">
        <f>Maaned!E11</f>
        <v/>
      </c>
      <c r="F9" s="400">
        <f>Maaned!I11</f>
        <v>7</v>
      </c>
      <c r="G9" s="409" t="str">
        <f>Maaned!J11</f>
        <v>on</v>
      </c>
      <c r="H9" s="409" t="str">
        <f>Maaned!K11</f>
        <v>Normal uge 1</v>
      </c>
      <c r="I9" s="231" t="str">
        <f>IF(Maaned!M11&gt;0,Maaned!M11,"")</f>
        <v/>
      </c>
      <c r="J9" s="232" t="str">
        <f>Maaned!L11</f>
        <v/>
      </c>
      <c r="K9" s="222">
        <f>Maaned!P11</f>
        <v>7</v>
      </c>
      <c r="L9" s="223" t="str">
        <f>Maaned!Q11</f>
        <v>fr</v>
      </c>
      <c r="M9" s="224" t="str">
        <f>Maaned!R11</f>
        <v>Normal uge 1</v>
      </c>
      <c r="N9" s="231" t="str">
        <f>IF(Maaned!T11&gt;0,Maaned!T11,"")</f>
        <v/>
      </c>
      <c r="O9" s="226" t="str">
        <f>Maaned!S11</f>
        <v/>
      </c>
      <c r="P9" s="400">
        <f>Maaned!W11</f>
        <v>7</v>
      </c>
      <c r="Q9" s="409" t="str">
        <f>Maaned!X11</f>
        <v>ma</v>
      </c>
      <c r="R9" s="409" t="str">
        <f>Maaned!Y11</f>
        <v>Normal uge 1</v>
      </c>
      <c r="S9" s="231" t="str">
        <f>IF(Maaned!AA11&gt;0,Maaned!AA11,"")</f>
        <v/>
      </c>
      <c r="T9" s="226">
        <f>Maaned!Z11</f>
        <v>45.285714285714285</v>
      </c>
      <c r="U9" s="400">
        <f>Maaned!AD11</f>
        <v>7</v>
      </c>
      <c r="V9" s="409" t="str">
        <f>Maaned!AE11</f>
        <v>on</v>
      </c>
      <c r="W9" s="409" t="str">
        <f>Maaned!AF11</f>
        <v>Normal uge 1</v>
      </c>
      <c r="X9" s="231" t="str">
        <f>IF(Maaned!AH11&gt;0,Maaned!AH11,"")</f>
        <v/>
      </c>
      <c r="Y9" s="226" t="str">
        <f>Maaned!AG11</f>
        <v/>
      </c>
      <c r="Z9" s="400">
        <f>Maaned!AK11</f>
        <v>7</v>
      </c>
      <c r="AA9" s="409" t="str">
        <f>Maaned!AL11</f>
        <v>lø</v>
      </c>
      <c r="AB9" s="409" t="str">
        <f>Maaned!AM11</f>
        <v>Weekend</v>
      </c>
      <c r="AC9" s="231" t="str">
        <f>IF(Maaned!AO11&gt;0,Maaned!AO11,"")</f>
        <v/>
      </c>
      <c r="AD9" s="232" t="str">
        <f>Maaned!AN11</f>
        <v/>
      </c>
    </row>
    <row r="10" spans="1:30" ht="23" customHeight="1">
      <c r="A10" s="222">
        <f>Maaned!B12</f>
        <v>8</v>
      </c>
      <c r="B10" s="223" t="str">
        <f>Maaned!C12</f>
        <v>ma</v>
      </c>
      <c r="C10" s="224" t="str">
        <f>Maaned!D12</f>
        <v>Normal uge 1</v>
      </c>
      <c r="D10" s="230" t="str">
        <f>IF(Maaned!F12&gt;0,Maaned!F12,"")</f>
        <v/>
      </c>
      <c r="E10" s="226">
        <f>Maaned!E12</f>
        <v>32.285714285714285</v>
      </c>
      <c r="F10" s="400">
        <f>Maaned!I12</f>
        <v>8</v>
      </c>
      <c r="G10" s="409" t="str">
        <f>Maaned!J12</f>
        <v>to</v>
      </c>
      <c r="H10" s="409" t="str">
        <f>Maaned!K12</f>
        <v>Normal uge 1</v>
      </c>
      <c r="I10" s="231" t="str">
        <f>IF(Maaned!M12&gt;0,Maaned!M12,"")</f>
        <v/>
      </c>
      <c r="J10" s="232" t="str">
        <f>Maaned!L12</f>
        <v/>
      </c>
      <c r="K10" s="222">
        <f>Maaned!P12</f>
        <v>8</v>
      </c>
      <c r="L10" s="223" t="str">
        <f>Maaned!Q12</f>
        <v>lø</v>
      </c>
      <c r="M10" s="224" t="str">
        <f>Maaned!R12</f>
        <v>Weekend</v>
      </c>
      <c r="N10" s="231" t="str">
        <f>IF(Maaned!T12&gt;0,Maaned!T12,"")</f>
        <v/>
      </c>
      <c r="O10" s="226" t="str">
        <f>Maaned!S12</f>
        <v/>
      </c>
      <c r="P10" s="400">
        <f>Maaned!W12</f>
        <v>8</v>
      </c>
      <c r="Q10" s="409" t="str">
        <f>Maaned!X12</f>
        <v>ti</v>
      </c>
      <c r="R10" s="409" t="str">
        <f>Maaned!Y12</f>
        <v>Normal uge 1</v>
      </c>
      <c r="S10" s="231" t="str">
        <f>IF(Maaned!AA12&gt;0,Maaned!AA12,"")</f>
        <v/>
      </c>
      <c r="T10" s="226" t="str">
        <f>Maaned!Z12</f>
        <v/>
      </c>
      <c r="U10" s="400">
        <f>Maaned!AD12</f>
        <v>8</v>
      </c>
      <c r="V10" s="409" t="str">
        <f>Maaned!AE12</f>
        <v>to</v>
      </c>
      <c r="W10" s="409" t="str">
        <f>Maaned!AF12</f>
        <v>Normal uge 1</v>
      </c>
      <c r="X10" s="231" t="str">
        <f>IF(Maaned!AH12&gt;0,Maaned!AH12,"")</f>
        <v/>
      </c>
      <c r="Y10" s="226" t="str">
        <f>Maaned!AG12</f>
        <v/>
      </c>
      <c r="Z10" s="400">
        <f>Maaned!AK12</f>
        <v>8</v>
      </c>
      <c r="AA10" s="409" t="str">
        <f>Maaned!AL12</f>
        <v>sø</v>
      </c>
      <c r="AB10" s="409" t="str">
        <f>Maaned!AM12</f>
        <v>Weekend</v>
      </c>
      <c r="AC10" s="231" t="str">
        <f>IF(Maaned!AO12&gt;0,Maaned!AO12,"")</f>
        <v/>
      </c>
      <c r="AD10" s="232" t="str">
        <f>Maaned!AN12</f>
        <v/>
      </c>
    </row>
    <row r="11" spans="1:30" ht="23" customHeight="1">
      <c r="A11" s="222">
        <f>Maaned!B13</f>
        <v>9</v>
      </c>
      <c r="B11" s="223" t="str">
        <f>Maaned!C13</f>
        <v>ti</v>
      </c>
      <c r="C11" s="224" t="str">
        <f>Maaned!D13</f>
        <v>Normal uge 1</v>
      </c>
      <c r="D11" s="230" t="str">
        <f>IF(Maaned!F13&gt;0,Maaned!F13,"")</f>
        <v/>
      </c>
      <c r="E11" s="226" t="str">
        <f>Maaned!E13</f>
        <v/>
      </c>
      <c r="F11" s="400">
        <f>Maaned!I13</f>
        <v>9</v>
      </c>
      <c r="G11" s="409" t="str">
        <f>Maaned!J13</f>
        <v>fr</v>
      </c>
      <c r="H11" s="409" t="str">
        <f>Maaned!K13</f>
        <v>Normal uge 1</v>
      </c>
      <c r="I11" s="231" t="str">
        <f>IF(Maaned!M13&gt;0,Maaned!M13,"")</f>
        <v/>
      </c>
      <c r="J11" s="232" t="str">
        <f>Maaned!L13</f>
        <v/>
      </c>
      <c r="K11" s="222">
        <f>Maaned!P13</f>
        <v>9</v>
      </c>
      <c r="L11" s="223" t="str">
        <f>Maaned!Q13</f>
        <v>sø</v>
      </c>
      <c r="M11" s="224" t="str">
        <f>Maaned!R13</f>
        <v>Weekend</v>
      </c>
      <c r="N11" s="231" t="str">
        <f>IF(Maaned!T13&gt;0,Maaned!T13,"")</f>
        <v/>
      </c>
      <c r="O11" s="226" t="str">
        <f>Maaned!S13</f>
        <v/>
      </c>
      <c r="P11" s="400">
        <f>Maaned!W13</f>
        <v>9</v>
      </c>
      <c r="Q11" s="409" t="str">
        <f>Maaned!X13</f>
        <v>on</v>
      </c>
      <c r="R11" s="409" t="str">
        <f>Maaned!Y13</f>
        <v>Normal uge 1</v>
      </c>
      <c r="S11" s="231" t="str">
        <f>IF(Maaned!AA13&gt;0,Maaned!AA13,"")</f>
        <v/>
      </c>
      <c r="T11" s="226" t="str">
        <f>Maaned!Z13</f>
        <v/>
      </c>
      <c r="U11" s="400">
        <f>Maaned!AD13</f>
        <v>9</v>
      </c>
      <c r="V11" s="409" t="str">
        <f>Maaned!AE13</f>
        <v>fr</v>
      </c>
      <c r="W11" s="409" t="str">
        <f>Maaned!AF13</f>
        <v>Normal uge 1</v>
      </c>
      <c r="X11" s="231" t="str">
        <f>IF(Maaned!AH13&gt;0,Maaned!AH13,"")</f>
        <v/>
      </c>
      <c r="Y11" s="226" t="str">
        <f>Maaned!AG13</f>
        <v/>
      </c>
      <c r="Z11" s="400">
        <f>Maaned!AK13</f>
        <v>9</v>
      </c>
      <c r="AA11" s="409" t="str">
        <f>Maaned!AL13</f>
        <v>ma</v>
      </c>
      <c r="AB11" s="409" t="str">
        <f>Maaned!AM13</f>
        <v>Normal uge 1</v>
      </c>
      <c r="AC11" s="231" t="str">
        <f>IF(Maaned!AO13&gt;0,Maaned!AO13,"")</f>
        <v/>
      </c>
      <c r="AD11" s="232">
        <f>Maaned!AN13</f>
        <v>2.1428571428571428</v>
      </c>
    </row>
    <row r="12" spans="1:30" ht="23" customHeight="1">
      <c r="A12" s="222">
        <f>Maaned!B14</f>
        <v>10</v>
      </c>
      <c r="B12" s="223" t="str">
        <f>Maaned!C14</f>
        <v>on</v>
      </c>
      <c r="C12" s="224" t="str">
        <f>Maaned!D14</f>
        <v>Normal uge 1</v>
      </c>
      <c r="D12" s="230" t="str">
        <f>IF(Maaned!F14&gt;0,Maaned!F14,"")</f>
        <v/>
      </c>
      <c r="E12" s="226" t="str">
        <f>Maaned!E14</f>
        <v/>
      </c>
      <c r="F12" s="400">
        <f>Maaned!I14</f>
        <v>10</v>
      </c>
      <c r="G12" s="409" t="str">
        <f>Maaned!J14</f>
        <v>lø</v>
      </c>
      <c r="H12" s="409" t="str">
        <f>Maaned!K14</f>
        <v>Weekend</v>
      </c>
      <c r="I12" s="231" t="str">
        <f>IF(Maaned!M14&gt;0,Maaned!M14,"")</f>
        <v/>
      </c>
      <c r="J12" s="232" t="str">
        <f>Maaned!L14</f>
        <v/>
      </c>
      <c r="K12" s="222">
        <f>Maaned!P14</f>
        <v>10</v>
      </c>
      <c r="L12" s="223" t="str">
        <f>Maaned!Q14</f>
        <v>ma</v>
      </c>
      <c r="M12" s="224" t="str">
        <f>Maaned!R14</f>
        <v>Normal uge 1</v>
      </c>
      <c r="N12" s="231" t="str">
        <f>IF(Maaned!T14&gt;0,Maaned!T14,"")</f>
        <v/>
      </c>
      <c r="O12" s="226">
        <f>Maaned!S14</f>
        <v>41.285714285714285</v>
      </c>
      <c r="P12" s="400">
        <f>Maaned!W14</f>
        <v>10</v>
      </c>
      <c r="Q12" s="409" t="str">
        <f>Maaned!X14</f>
        <v>to</v>
      </c>
      <c r="R12" s="409" t="str">
        <f>Maaned!Y14</f>
        <v>Normal uge 1</v>
      </c>
      <c r="S12" s="231" t="str">
        <f>IF(Maaned!AA14&gt;0,Maaned!AA14,"")</f>
        <v/>
      </c>
      <c r="T12" s="226" t="str">
        <f>Maaned!Z14</f>
        <v/>
      </c>
      <c r="U12" s="400">
        <f>Maaned!AD14</f>
        <v>10</v>
      </c>
      <c r="V12" s="409" t="str">
        <f>Maaned!AE14</f>
        <v>lø</v>
      </c>
      <c r="W12" s="409" t="str">
        <f>Maaned!AF14</f>
        <v>Weekend</v>
      </c>
      <c r="X12" s="231" t="str">
        <f>IF(Maaned!AH14&gt;0,Maaned!AH14,"")</f>
        <v/>
      </c>
      <c r="Y12" s="226" t="str">
        <f>Maaned!AG14</f>
        <v/>
      </c>
      <c r="Z12" s="400">
        <f>Maaned!AK14</f>
        <v>10</v>
      </c>
      <c r="AA12" s="409" t="str">
        <f>Maaned!AL14</f>
        <v>ti</v>
      </c>
      <c r="AB12" s="409" t="str">
        <f>Maaned!AM14</f>
        <v>Normal uge 1</v>
      </c>
      <c r="AC12" s="231" t="str">
        <f>IF(Maaned!AO14&gt;0,Maaned!AO14,"")</f>
        <v/>
      </c>
      <c r="AD12" s="232" t="str">
        <f>Maaned!AN14</f>
        <v/>
      </c>
    </row>
    <row r="13" spans="1:30" ht="23" customHeight="1">
      <c r="A13" s="222">
        <f>Maaned!B15</f>
        <v>11</v>
      </c>
      <c r="B13" s="223" t="str">
        <f>Maaned!C15</f>
        <v>to</v>
      </c>
      <c r="C13" s="224" t="str">
        <f>Maaned!D15</f>
        <v>Normal uge 1</v>
      </c>
      <c r="D13" s="230" t="str">
        <f>IF(Maaned!F15&gt;0,Maaned!F15,"")</f>
        <v/>
      </c>
      <c r="E13" s="226" t="str">
        <f>Maaned!E15</f>
        <v/>
      </c>
      <c r="F13" s="400">
        <f>Maaned!I15</f>
        <v>11</v>
      </c>
      <c r="G13" s="409" t="str">
        <f>Maaned!J15</f>
        <v>sø</v>
      </c>
      <c r="H13" s="409" t="str">
        <f>Maaned!K15</f>
        <v>Weekend</v>
      </c>
      <c r="I13" s="231" t="str">
        <f>IF(Maaned!M15&gt;0,Maaned!M15,"")</f>
        <v/>
      </c>
      <c r="J13" s="232" t="str">
        <f>Maaned!L15</f>
        <v/>
      </c>
      <c r="K13" s="222">
        <f>Maaned!P15</f>
        <v>11</v>
      </c>
      <c r="L13" s="223" t="str">
        <f>Maaned!Q15</f>
        <v>ti</v>
      </c>
      <c r="M13" s="224" t="str">
        <f>Maaned!R15</f>
        <v>Normal uge 1</v>
      </c>
      <c r="N13" s="231" t="str">
        <f>IF(Maaned!T15&gt;0,Maaned!T15,"")</f>
        <v/>
      </c>
      <c r="O13" s="226" t="str">
        <f>Maaned!S15</f>
        <v/>
      </c>
      <c r="P13" s="400">
        <f>Maaned!W15</f>
        <v>11</v>
      </c>
      <c r="Q13" s="409" t="str">
        <f>Maaned!X15</f>
        <v>fr</v>
      </c>
      <c r="R13" s="409" t="str">
        <f>Maaned!Y15</f>
        <v>Normal uge 1</v>
      </c>
      <c r="S13" s="231" t="str">
        <f>IF(Maaned!AA15&gt;0,Maaned!AA15,"")</f>
        <v/>
      </c>
      <c r="T13" s="226" t="str">
        <f>Maaned!Z15</f>
        <v/>
      </c>
      <c r="U13" s="400">
        <f>Maaned!AD15</f>
        <v>11</v>
      </c>
      <c r="V13" s="409" t="str">
        <f>Maaned!AE15</f>
        <v>sø</v>
      </c>
      <c r="W13" s="409" t="str">
        <f>Maaned!AF15</f>
        <v>Weekend</v>
      </c>
      <c r="X13" s="231" t="str">
        <f>IF(Maaned!AH15&gt;0,Maaned!AH15,"")</f>
        <v/>
      </c>
      <c r="Y13" s="226" t="str">
        <f>Maaned!AG15</f>
        <v/>
      </c>
      <c r="Z13" s="400">
        <f>Maaned!AK15</f>
        <v>11</v>
      </c>
      <c r="AA13" s="409" t="str">
        <f>Maaned!AL15</f>
        <v>on</v>
      </c>
      <c r="AB13" s="409" t="str">
        <f>Maaned!AM15</f>
        <v>Normal uge 1</v>
      </c>
      <c r="AC13" s="231" t="str">
        <f>IF(Maaned!AO15&gt;0,Maaned!AO15,"")</f>
        <v/>
      </c>
      <c r="AD13" s="232" t="str">
        <f>Maaned!AN15</f>
        <v/>
      </c>
    </row>
    <row r="14" spans="1:30" ht="23" customHeight="1">
      <c r="A14" s="222">
        <f>Maaned!B16</f>
        <v>12</v>
      </c>
      <c r="B14" s="223" t="str">
        <f>Maaned!C16</f>
        <v>fr</v>
      </c>
      <c r="C14" s="224" t="str">
        <f>Maaned!D16</f>
        <v>Normal uge 1</v>
      </c>
      <c r="D14" s="230" t="str">
        <f>IF(Maaned!F16&gt;0,Maaned!F16,"")</f>
        <v/>
      </c>
      <c r="E14" s="226" t="str">
        <f>Maaned!E16</f>
        <v/>
      </c>
      <c r="F14" s="400">
        <f>Maaned!I16</f>
        <v>12</v>
      </c>
      <c r="G14" s="409" t="str">
        <f>Maaned!J16</f>
        <v>ma</v>
      </c>
      <c r="H14" s="409" t="str">
        <f>Maaned!K16</f>
        <v>Normal uge 1</v>
      </c>
      <c r="I14" s="231" t="str">
        <f>IF(Maaned!M16&gt;0,Maaned!M16,"")</f>
        <v/>
      </c>
      <c r="J14" s="232">
        <f>Maaned!L16</f>
        <v>37.285714285714285</v>
      </c>
      <c r="K14" s="222">
        <f>Maaned!P16</f>
        <v>12</v>
      </c>
      <c r="L14" s="223" t="str">
        <f>Maaned!Q16</f>
        <v>on</v>
      </c>
      <c r="M14" s="224" t="str">
        <f>Maaned!R16</f>
        <v>Normal uge 1</v>
      </c>
      <c r="N14" s="231" t="str">
        <f>IF(Maaned!T16&gt;0,Maaned!T16,"")</f>
        <v/>
      </c>
      <c r="O14" s="226" t="str">
        <f>Maaned!S16</f>
        <v/>
      </c>
      <c r="P14" s="400">
        <f>Maaned!W16</f>
        <v>12</v>
      </c>
      <c r="Q14" s="409" t="str">
        <f>Maaned!X16</f>
        <v>lø</v>
      </c>
      <c r="R14" s="409" t="str">
        <f>Maaned!Y16</f>
        <v>Weekend</v>
      </c>
      <c r="S14" s="231" t="str">
        <f>IF(Maaned!AA16&gt;0,Maaned!AA16,"")</f>
        <v/>
      </c>
      <c r="T14" s="226" t="str">
        <f>Maaned!Z16</f>
        <v/>
      </c>
      <c r="U14" s="400">
        <f>Maaned!AD16</f>
        <v>12</v>
      </c>
      <c r="V14" s="409" t="str">
        <f>Maaned!AE16</f>
        <v>ma</v>
      </c>
      <c r="W14" s="409" t="str">
        <f>Maaned!AF16</f>
        <v>Normal uge 1</v>
      </c>
      <c r="X14" s="231" t="str">
        <f>IF(Maaned!AH16&gt;0,Maaned!AH16,"")</f>
        <v/>
      </c>
      <c r="Y14" s="226">
        <f>Maaned!AG16</f>
        <v>50.285714285714285</v>
      </c>
      <c r="Z14" s="400">
        <f>Maaned!AK16</f>
        <v>12</v>
      </c>
      <c r="AA14" s="409" t="str">
        <f>Maaned!AL16</f>
        <v>to</v>
      </c>
      <c r="AB14" s="409" t="str">
        <f>Maaned!AM16</f>
        <v>Normal uge 1</v>
      </c>
      <c r="AC14" s="231" t="str">
        <f>IF(Maaned!AO16&gt;0,Maaned!AO16,"")</f>
        <v/>
      </c>
      <c r="AD14" s="232" t="str">
        <f>Maaned!AN16</f>
        <v/>
      </c>
    </row>
    <row r="15" spans="1:30" ht="23" customHeight="1">
      <c r="A15" s="222">
        <f>Maaned!B17</f>
        <v>13</v>
      </c>
      <c r="B15" s="223" t="str">
        <f>Maaned!C17</f>
        <v>lø</v>
      </c>
      <c r="C15" s="224" t="str">
        <f>Maaned!D17</f>
        <v>Weekend</v>
      </c>
      <c r="D15" s="230" t="str">
        <f>IF(Maaned!F17&gt;0,Maaned!F17,"")</f>
        <v/>
      </c>
      <c r="E15" s="226" t="str">
        <f>Maaned!E17</f>
        <v/>
      </c>
      <c r="F15" s="400">
        <f>Maaned!I17</f>
        <v>13</v>
      </c>
      <c r="G15" s="409" t="str">
        <f>Maaned!J17</f>
        <v>ti</v>
      </c>
      <c r="H15" s="409" t="str">
        <f>Maaned!K17</f>
        <v>Normal uge 1</v>
      </c>
      <c r="I15" s="231" t="str">
        <f>IF(Maaned!M17&gt;0,Maaned!M17,"")</f>
        <v/>
      </c>
      <c r="J15" s="232" t="str">
        <f>Maaned!L17</f>
        <v/>
      </c>
      <c r="K15" s="222">
        <f>Maaned!P17</f>
        <v>13</v>
      </c>
      <c r="L15" s="223" t="str">
        <f>Maaned!Q17</f>
        <v>to</v>
      </c>
      <c r="M15" s="224" t="str">
        <f>Maaned!R17</f>
        <v>Normal uge 1</v>
      </c>
      <c r="N15" s="231" t="str">
        <f>IF(Maaned!T17&gt;0,Maaned!T17,"")</f>
        <v/>
      </c>
      <c r="O15" s="226" t="str">
        <f>Maaned!S17</f>
        <v/>
      </c>
      <c r="P15" s="400">
        <f>Maaned!W17</f>
        <v>13</v>
      </c>
      <c r="Q15" s="409" t="str">
        <f>Maaned!X17</f>
        <v>sø</v>
      </c>
      <c r="R15" s="409" t="str">
        <f>Maaned!Y17</f>
        <v>Weekend</v>
      </c>
      <c r="S15" s="231" t="str">
        <f>IF(Maaned!AA17&gt;0,Maaned!AA17,"")</f>
        <v/>
      </c>
      <c r="T15" s="226" t="str">
        <f>Maaned!Z17</f>
        <v/>
      </c>
      <c r="U15" s="400">
        <f>Maaned!AD17</f>
        <v>13</v>
      </c>
      <c r="V15" s="409" t="str">
        <f>Maaned!AE17</f>
        <v>ti</v>
      </c>
      <c r="W15" s="409" t="str">
        <f>Maaned!AF17</f>
        <v>Normal uge 1</v>
      </c>
      <c r="X15" s="231" t="str">
        <f>IF(Maaned!AH17&gt;0,Maaned!AH17,"")</f>
        <v/>
      </c>
      <c r="Y15" s="226" t="str">
        <f>Maaned!AG17</f>
        <v/>
      </c>
      <c r="Z15" s="400">
        <f>Maaned!AK17</f>
        <v>13</v>
      </c>
      <c r="AA15" s="409" t="str">
        <f>Maaned!AL17</f>
        <v>fr</v>
      </c>
      <c r="AB15" s="409" t="str">
        <f>Maaned!AM17</f>
        <v>Normal uge 1</v>
      </c>
      <c r="AC15" s="231" t="str">
        <f>IF(Maaned!AO17&gt;0,Maaned!AO17,"")</f>
        <v/>
      </c>
      <c r="AD15" s="232" t="str">
        <f>Maaned!AN17</f>
        <v/>
      </c>
    </row>
    <row r="16" spans="1:30" ht="23" customHeight="1">
      <c r="A16" s="222">
        <f>Maaned!B18</f>
        <v>14</v>
      </c>
      <c r="B16" s="223" t="str">
        <f>Maaned!C18</f>
        <v>sø</v>
      </c>
      <c r="C16" s="224" t="str">
        <f>Maaned!D18</f>
        <v>Weekend</v>
      </c>
      <c r="D16" s="230" t="str">
        <f>IF(Maaned!F18&gt;0,Maaned!F18,"")</f>
        <v/>
      </c>
      <c r="E16" s="226" t="str">
        <f>Maaned!E18</f>
        <v/>
      </c>
      <c r="F16" s="400">
        <f>Maaned!I18</f>
        <v>14</v>
      </c>
      <c r="G16" s="409" t="str">
        <f>Maaned!J18</f>
        <v>on</v>
      </c>
      <c r="H16" s="409" t="str">
        <f>Maaned!K18</f>
        <v>Normal uge 1</v>
      </c>
      <c r="I16" s="231" t="str">
        <f>IF(Maaned!M18&gt;0,Maaned!M18,"")</f>
        <v/>
      </c>
      <c r="J16" s="232" t="str">
        <f>Maaned!L18</f>
        <v/>
      </c>
      <c r="K16" s="222">
        <f>Maaned!P18</f>
        <v>14</v>
      </c>
      <c r="L16" s="223" t="str">
        <f>Maaned!Q18</f>
        <v>fr</v>
      </c>
      <c r="M16" s="224" t="str">
        <f>Maaned!R18</f>
        <v>Normal uge 1</v>
      </c>
      <c r="N16" s="231" t="str">
        <f>IF(Maaned!T18&gt;0,Maaned!T18,"")</f>
        <v/>
      </c>
      <c r="O16" s="226" t="str">
        <f>Maaned!S18</f>
        <v/>
      </c>
      <c r="P16" s="400">
        <f>Maaned!W18</f>
        <v>14</v>
      </c>
      <c r="Q16" s="409" t="str">
        <f>Maaned!X18</f>
        <v>ma</v>
      </c>
      <c r="R16" s="409" t="str">
        <f>Maaned!Y18</f>
        <v>Normal uge 1</v>
      </c>
      <c r="S16" s="231" t="str">
        <f>IF(Maaned!AA18&gt;0,Maaned!AA18,"")</f>
        <v/>
      </c>
      <c r="T16" s="226">
        <f>Maaned!Z18</f>
        <v>46.285714285714285</v>
      </c>
      <c r="U16" s="400">
        <f>Maaned!AD18</f>
        <v>14</v>
      </c>
      <c r="V16" s="409" t="str">
        <f>Maaned!AE18</f>
        <v>on</v>
      </c>
      <c r="W16" s="409" t="str">
        <f>Maaned!AF18</f>
        <v>Normal uge 1</v>
      </c>
      <c r="X16" s="231" t="str">
        <f>IF(Maaned!AH18&gt;0,Maaned!AH18,"")</f>
        <v/>
      </c>
      <c r="Y16" s="226" t="str">
        <f>Maaned!AG18</f>
        <v/>
      </c>
      <c r="Z16" s="400">
        <f>Maaned!AK18</f>
        <v>14</v>
      </c>
      <c r="AA16" s="409" t="str">
        <f>Maaned!AL18</f>
        <v>lø</v>
      </c>
      <c r="AB16" s="409" t="str">
        <f>Maaned!AM18</f>
        <v>Weekend</v>
      </c>
      <c r="AC16" s="231" t="str">
        <f>IF(Maaned!AO18&gt;0,Maaned!AO18,"")</f>
        <v/>
      </c>
      <c r="AD16" s="232" t="str">
        <f>Maaned!AN18</f>
        <v/>
      </c>
    </row>
    <row r="17" spans="1:30" ht="23" customHeight="1">
      <c r="A17" s="222">
        <f>Maaned!B19</f>
        <v>15</v>
      </c>
      <c r="B17" s="223" t="str">
        <f>Maaned!C19</f>
        <v>ma</v>
      </c>
      <c r="C17" s="224" t="str">
        <f>Maaned!D19</f>
        <v>Normal uge 1</v>
      </c>
      <c r="D17" s="230" t="str">
        <f>IF(Maaned!F19&gt;0,Maaned!F19,"")</f>
        <v/>
      </c>
      <c r="E17" s="226">
        <f>Maaned!E19</f>
        <v>33.285714285714285</v>
      </c>
      <c r="F17" s="400">
        <f>Maaned!I19</f>
        <v>15</v>
      </c>
      <c r="G17" s="409" t="str">
        <f>Maaned!J19</f>
        <v>to</v>
      </c>
      <c r="H17" s="409" t="str">
        <f>Maaned!K19</f>
        <v>Normal uge 1</v>
      </c>
      <c r="I17" s="231" t="str">
        <f>IF(Maaned!M19&gt;0,Maaned!M19,"")</f>
        <v/>
      </c>
      <c r="J17" s="232" t="str">
        <f>Maaned!L19</f>
        <v/>
      </c>
      <c r="K17" s="222">
        <f>Maaned!P19</f>
        <v>15</v>
      </c>
      <c r="L17" s="223" t="str">
        <f>Maaned!Q19</f>
        <v>lø</v>
      </c>
      <c r="M17" s="224" t="str">
        <f>Maaned!R19</f>
        <v>Weekend</v>
      </c>
      <c r="N17" s="231" t="str">
        <f>IF(Maaned!T19&gt;0,Maaned!T19,"")</f>
        <v/>
      </c>
      <c r="O17" s="226" t="str">
        <f>Maaned!S19</f>
        <v/>
      </c>
      <c r="P17" s="400">
        <f>Maaned!W19</f>
        <v>15</v>
      </c>
      <c r="Q17" s="409" t="str">
        <f>Maaned!X19</f>
        <v>ti</v>
      </c>
      <c r="R17" s="409" t="str">
        <f>Maaned!Y19</f>
        <v>Normal uge 1</v>
      </c>
      <c r="S17" s="231" t="str">
        <f>IF(Maaned!AA19&gt;0,Maaned!AA19,"")</f>
        <v/>
      </c>
      <c r="T17" s="226" t="str">
        <f>Maaned!Z19</f>
        <v/>
      </c>
      <c r="U17" s="400">
        <f>Maaned!AD19</f>
        <v>15</v>
      </c>
      <c r="V17" s="409" t="str">
        <f>Maaned!AE19</f>
        <v>to</v>
      </c>
      <c r="W17" s="409" t="str">
        <f>Maaned!AF19</f>
        <v>Normal uge 1</v>
      </c>
      <c r="X17" s="231" t="str">
        <f>IF(Maaned!AH19&gt;0,Maaned!AH19,"")</f>
        <v/>
      </c>
      <c r="Y17" s="226" t="str">
        <f>Maaned!AG19</f>
        <v/>
      </c>
      <c r="Z17" s="400">
        <f>Maaned!AK19</f>
        <v>15</v>
      </c>
      <c r="AA17" s="409" t="str">
        <f>Maaned!AL19</f>
        <v>sø</v>
      </c>
      <c r="AB17" s="409" t="str">
        <f>Maaned!AM19</f>
        <v>Weekend</v>
      </c>
      <c r="AC17" s="231" t="str">
        <f>IF(Maaned!AO19&gt;0,Maaned!AO19,"")</f>
        <v/>
      </c>
      <c r="AD17" s="232" t="str">
        <f>Maaned!AN19</f>
        <v/>
      </c>
    </row>
    <row r="18" spans="1:30" ht="23" customHeight="1">
      <c r="A18" s="222">
        <f>Maaned!B20</f>
        <v>16</v>
      </c>
      <c r="B18" s="223" t="str">
        <f>Maaned!C20</f>
        <v>ti</v>
      </c>
      <c r="C18" s="224" t="str">
        <f>Maaned!D20</f>
        <v>Normal uge 1</v>
      </c>
      <c r="D18" s="230" t="str">
        <f>IF(Maaned!F20&gt;0,Maaned!F20,"")</f>
        <v/>
      </c>
      <c r="E18" s="226" t="str">
        <f>Maaned!E20</f>
        <v/>
      </c>
      <c r="F18" s="400">
        <f>Maaned!I20</f>
        <v>16</v>
      </c>
      <c r="G18" s="409" t="str">
        <f>Maaned!J20</f>
        <v>fr</v>
      </c>
      <c r="H18" s="409" t="str">
        <f>Maaned!K20</f>
        <v>Normal uge 1</v>
      </c>
      <c r="I18" s="231" t="str">
        <f>IF(Maaned!M20&gt;0,Maaned!M20,"")</f>
        <v/>
      </c>
      <c r="J18" s="232" t="str">
        <f>Maaned!L20</f>
        <v/>
      </c>
      <c r="K18" s="222">
        <f>Maaned!P20</f>
        <v>16</v>
      </c>
      <c r="L18" s="223" t="str">
        <f>Maaned!Q20</f>
        <v>sø</v>
      </c>
      <c r="M18" s="224" t="str">
        <f>Maaned!R20</f>
        <v>Weekend</v>
      </c>
      <c r="N18" s="231" t="str">
        <f>IF(Maaned!T20&gt;0,Maaned!T20,"")</f>
        <v/>
      </c>
      <c r="O18" s="226" t="str">
        <f>Maaned!S20</f>
        <v/>
      </c>
      <c r="P18" s="400">
        <f>Maaned!W20</f>
        <v>16</v>
      </c>
      <c r="Q18" s="409" t="str">
        <f>Maaned!X20</f>
        <v>on</v>
      </c>
      <c r="R18" s="409" t="str">
        <f>Maaned!Y20</f>
        <v>Normal uge 1</v>
      </c>
      <c r="S18" s="231" t="str">
        <f>IF(Maaned!AA20&gt;0,Maaned!AA20,"")</f>
        <v/>
      </c>
      <c r="T18" s="226" t="str">
        <f>Maaned!Z20</f>
        <v/>
      </c>
      <c r="U18" s="400">
        <f>Maaned!AD20</f>
        <v>16</v>
      </c>
      <c r="V18" s="409" t="str">
        <f>Maaned!AE20</f>
        <v>fr</v>
      </c>
      <c r="W18" s="409" t="str">
        <f>Maaned!AF20</f>
        <v>Normal uge 1</v>
      </c>
      <c r="X18" s="231" t="str">
        <f>IF(Maaned!AH20&gt;0,Maaned!AH20,"")</f>
        <v/>
      </c>
      <c r="Y18" s="226" t="str">
        <f>Maaned!AG20</f>
        <v/>
      </c>
      <c r="Z18" s="400">
        <f>Maaned!AK20</f>
        <v>16</v>
      </c>
      <c r="AA18" s="409" t="str">
        <f>Maaned!AL20</f>
        <v>ma</v>
      </c>
      <c r="AB18" s="409" t="str">
        <f>Maaned!AM20</f>
        <v>Normal uge 1</v>
      </c>
      <c r="AC18" s="231" t="str">
        <f>IF(Maaned!AO20&gt;0,Maaned!AO20,"")</f>
        <v/>
      </c>
      <c r="AD18" s="232">
        <f>Maaned!AN20</f>
        <v>3.1428571428571428</v>
      </c>
    </row>
    <row r="19" spans="1:30" ht="23" customHeight="1">
      <c r="A19" s="222">
        <f>Maaned!B21</f>
        <v>17</v>
      </c>
      <c r="B19" s="223" t="str">
        <f>Maaned!C21</f>
        <v>on</v>
      </c>
      <c r="C19" s="224" t="str">
        <f>Maaned!D21</f>
        <v>Normal uge 1</v>
      </c>
      <c r="D19" s="230" t="str">
        <f>IF(Maaned!F21&gt;0,Maaned!F21,"")</f>
        <v/>
      </c>
      <c r="E19" s="226" t="str">
        <f>Maaned!E21</f>
        <v/>
      </c>
      <c r="F19" s="400">
        <f>Maaned!I21</f>
        <v>17</v>
      </c>
      <c r="G19" s="409" t="str">
        <f>Maaned!J21</f>
        <v>lø</v>
      </c>
      <c r="H19" s="409" t="str">
        <f>Maaned!K21</f>
        <v>Weekend</v>
      </c>
      <c r="I19" s="231" t="str">
        <f>IF(Maaned!M21&gt;0,Maaned!M21,"")</f>
        <v/>
      </c>
      <c r="J19" s="232" t="str">
        <f>Maaned!L21</f>
        <v/>
      </c>
      <c r="K19" s="222">
        <f>Maaned!P21</f>
        <v>17</v>
      </c>
      <c r="L19" s="223" t="str">
        <f>Maaned!Q21</f>
        <v>ma</v>
      </c>
      <c r="M19" s="224" t="str">
        <f>Maaned!R21</f>
        <v>Normal uge 1</v>
      </c>
      <c r="N19" s="231" t="str">
        <f>IF(Maaned!T21&gt;0,Maaned!T21,"")</f>
        <v/>
      </c>
      <c r="O19" s="226">
        <f>Maaned!S21</f>
        <v>42.285714285714285</v>
      </c>
      <c r="P19" s="400">
        <f>Maaned!W21</f>
        <v>17</v>
      </c>
      <c r="Q19" s="409" t="str">
        <f>Maaned!X21</f>
        <v>to</v>
      </c>
      <c r="R19" s="409" t="str">
        <f>Maaned!Y21</f>
        <v>Normal uge 1</v>
      </c>
      <c r="S19" s="231" t="str">
        <f>IF(Maaned!AA21&gt;0,Maaned!AA21,"")</f>
        <v/>
      </c>
      <c r="T19" s="226" t="str">
        <f>Maaned!Z21</f>
        <v/>
      </c>
      <c r="U19" s="400">
        <f>Maaned!AD21</f>
        <v>17</v>
      </c>
      <c r="V19" s="409" t="str">
        <f>Maaned!AE21</f>
        <v>lø</v>
      </c>
      <c r="W19" s="409" t="str">
        <f>Maaned!AF21</f>
        <v>Weekend</v>
      </c>
      <c r="X19" s="231" t="str">
        <f>IF(Maaned!AH21&gt;0,Maaned!AH21,"")</f>
        <v/>
      </c>
      <c r="Y19" s="226" t="str">
        <f>Maaned!AG21</f>
        <v/>
      </c>
      <c r="Z19" s="400">
        <f>Maaned!AK21</f>
        <v>17</v>
      </c>
      <c r="AA19" s="409" t="str">
        <f>Maaned!AL21</f>
        <v>ti</v>
      </c>
      <c r="AB19" s="409" t="str">
        <f>Maaned!AM21</f>
        <v>Normal uge 1</v>
      </c>
      <c r="AC19" s="231" t="str">
        <f>IF(Maaned!AO21&gt;0,Maaned!AO21,"")</f>
        <v/>
      </c>
      <c r="AD19" s="232" t="str">
        <f>Maaned!AN21</f>
        <v/>
      </c>
    </row>
    <row r="20" spans="1:30" ht="23" customHeight="1">
      <c r="A20" s="222">
        <f>Maaned!B22</f>
        <v>18</v>
      </c>
      <c r="B20" s="223" t="str">
        <f>Maaned!C22</f>
        <v>to</v>
      </c>
      <c r="C20" s="224" t="str">
        <f>Maaned!D22</f>
        <v>Normal uge 1</v>
      </c>
      <c r="D20" s="230" t="str">
        <f>IF(Maaned!F22&gt;0,Maaned!F22,"")</f>
        <v/>
      </c>
      <c r="E20" s="226" t="str">
        <f>Maaned!E22</f>
        <v/>
      </c>
      <c r="F20" s="400">
        <f>Maaned!I22</f>
        <v>18</v>
      </c>
      <c r="G20" s="409" t="str">
        <f>Maaned!J22</f>
        <v>sø</v>
      </c>
      <c r="H20" s="409" t="str">
        <f>Maaned!K22</f>
        <v>Weekend</v>
      </c>
      <c r="I20" s="231" t="str">
        <f>IF(Maaned!M22&gt;0,Maaned!M22,"")</f>
        <v/>
      </c>
      <c r="J20" s="232" t="str">
        <f>Maaned!L22</f>
        <v/>
      </c>
      <c r="K20" s="222">
        <f>Maaned!P22</f>
        <v>18</v>
      </c>
      <c r="L20" s="223" t="str">
        <f>Maaned!Q22</f>
        <v>ti</v>
      </c>
      <c r="M20" s="224" t="str">
        <f>Maaned!R22</f>
        <v>Normal uge 1</v>
      </c>
      <c r="N20" s="231" t="str">
        <f>IF(Maaned!T22&gt;0,Maaned!T22,"")</f>
        <v/>
      </c>
      <c r="O20" s="226" t="str">
        <f>Maaned!S22</f>
        <v/>
      </c>
      <c r="P20" s="400">
        <f>Maaned!W22</f>
        <v>18</v>
      </c>
      <c r="Q20" s="409" t="str">
        <f>Maaned!X22</f>
        <v>fr</v>
      </c>
      <c r="R20" s="409" t="str">
        <f>Maaned!Y22</f>
        <v>Normal uge 1</v>
      </c>
      <c r="S20" s="231" t="str">
        <f>IF(Maaned!AA22&gt;0,Maaned!AA22,"")</f>
        <v/>
      </c>
      <c r="T20" s="226" t="str">
        <f>Maaned!Z22</f>
        <v/>
      </c>
      <c r="U20" s="400">
        <f>Maaned!AD22</f>
        <v>18</v>
      </c>
      <c r="V20" s="409" t="str">
        <f>Maaned!AE22</f>
        <v>sø</v>
      </c>
      <c r="W20" s="409" t="str">
        <f>Maaned!AF22</f>
        <v>Weekend</v>
      </c>
      <c r="X20" s="231" t="str">
        <f>IF(Maaned!AH22&gt;0,Maaned!AH22,"")</f>
        <v/>
      </c>
      <c r="Y20" s="226" t="str">
        <f>Maaned!AG22</f>
        <v/>
      </c>
      <c r="Z20" s="400">
        <f>Maaned!AK22</f>
        <v>18</v>
      </c>
      <c r="AA20" s="409" t="str">
        <f>Maaned!AL22</f>
        <v>on</v>
      </c>
      <c r="AB20" s="409" t="str">
        <f>Maaned!AM22</f>
        <v>Normal uge 1</v>
      </c>
      <c r="AC20" s="231" t="str">
        <f>IF(Maaned!AO22&gt;0,Maaned!AO22,"")</f>
        <v/>
      </c>
      <c r="AD20" s="232" t="str">
        <f>Maaned!AN22</f>
        <v/>
      </c>
    </row>
    <row r="21" spans="1:30" ht="23" customHeight="1">
      <c r="A21" s="222">
        <f>Maaned!B23</f>
        <v>19</v>
      </c>
      <c r="B21" s="223" t="str">
        <f>Maaned!C23</f>
        <v>fr</v>
      </c>
      <c r="C21" s="224" t="str">
        <f>Maaned!D23</f>
        <v>Normal uge 1</v>
      </c>
      <c r="D21" s="230" t="str">
        <f>IF(Maaned!F23&gt;0,Maaned!F23,"")</f>
        <v/>
      </c>
      <c r="E21" s="226" t="str">
        <f>Maaned!E23</f>
        <v/>
      </c>
      <c r="F21" s="400">
        <f>Maaned!I23</f>
        <v>19</v>
      </c>
      <c r="G21" s="409" t="str">
        <f>Maaned!J23</f>
        <v>ma</v>
      </c>
      <c r="H21" s="409" t="str">
        <f>Maaned!K23</f>
        <v>Normal uge 1</v>
      </c>
      <c r="I21" s="231" t="str">
        <f>IF(Maaned!M23&gt;0,Maaned!M23,"")</f>
        <v/>
      </c>
      <c r="J21" s="232">
        <f>Maaned!L23</f>
        <v>38.285714285714285</v>
      </c>
      <c r="K21" s="222">
        <f>Maaned!P23</f>
        <v>19</v>
      </c>
      <c r="L21" s="223" t="str">
        <f>Maaned!Q23</f>
        <v>on</v>
      </c>
      <c r="M21" s="224" t="str">
        <f>Maaned!R23</f>
        <v>Normal uge 1</v>
      </c>
      <c r="N21" s="231" t="str">
        <f>IF(Maaned!T23&gt;0,Maaned!T23,"")</f>
        <v/>
      </c>
      <c r="O21" s="226" t="str">
        <f>Maaned!S23</f>
        <v/>
      </c>
      <c r="P21" s="400">
        <f>Maaned!W23</f>
        <v>19</v>
      </c>
      <c r="Q21" s="409" t="str">
        <f>Maaned!X23</f>
        <v>lø</v>
      </c>
      <c r="R21" s="409" t="str">
        <f>Maaned!Y23</f>
        <v>Weekend</v>
      </c>
      <c r="S21" s="231" t="str">
        <f>IF(Maaned!AA23&gt;0,Maaned!AA23,"")</f>
        <v/>
      </c>
      <c r="T21" s="226" t="str">
        <f>Maaned!Z23</f>
        <v/>
      </c>
      <c r="U21" s="400">
        <f>Maaned!AD23</f>
        <v>19</v>
      </c>
      <c r="V21" s="409" t="str">
        <f>Maaned!AE23</f>
        <v>ma</v>
      </c>
      <c r="W21" s="409" t="str">
        <f>Maaned!AF23</f>
        <v>Normal uge 1</v>
      </c>
      <c r="X21" s="231" t="str">
        <f>IF(Maaned!AH23&gt;0,Maaned!AH23,"")</f>
        <v/>
      </c>
      <c r="Y21" s="226">
        <f>Maaned!AG23</f>
        <v>51.285714285714285</v>
      </c>
      <c r="Z21" s="400">
        <f>Maaned!AK23</f>
        <v>19</v>
      </c>
      <c r="AA21" s="409" t="str">
        <f>Maaned!AL23</f>
        <v>to</v>
      </c>
      <c r="AB21" s="409" t="str">
        <f>Maaned!AM23</f>
        <v>Normal uge 1</v>
      </c>
      <c r="AC21" s="231" t="str">
        <f>IF(Maaned!AO23&gt;0,Maaned!AO23,"")</f>
        <v/>
      </c>
      <c r="AD21" s="232" t="str">
        <f>Maaned!AN23</f>
        <v/>
      </c>
    </row>
    <row r="22" spans="1:30" ht="23" customHeight="1">
      <c r="A22" s="222">
        <f>Maaned!B24</f>
        <v>20</v>
      </c>
      <c r="B22" s="223" t="str">
        <f>Maaned!C24</f>
        <v>lø</v>
      </c>
      <c r="C22" s="224" t="str">
        <f>Maaned!D24</f>
        <v>Weekend</v>
      </c>
      <c r="D22" s="230" t="str">
        <f>IF(Maaned!F24&gt;0,Maaned!F24,"")</f>
        <v/>
      </c>
      <c r="E22" s="226" t="str">
        <f>Maaned!E24</f>
        <v/>
      </c>
      <c r="F22" s="400">
        <f>Maaned!I24</f>
        <v>20</v>
      </c>
      <c r="G22" s="409" t="str">
        <f>Maaned!J24</f>
        <v>ti</v>
      </c>
      <c r="H22" s="409" t="str">
        <f>Maaned!K24</f>
        <v>Normal uge 1</v>
      </c>
      <c r="I22" s="231" t="str">
        <f>IF(Maaned!M24&gt;0,Maaned!M24,"")</f>
        <v/>
      </c>
      <c r="J22" s="232" t="str">
        <f>Maaned!L24</f>
        <v/>
      </c>
      <c r="K22" s="222">
        <f>Maaned!P24</f>
        <v>20</v>
      </c>
      <c r="L22" s="223" t="str">
        <f>Maaned!Q24</f>
        <v>to</v>
      </c>
      <c r="M22" s="224" t="str">
        <f>Maaned!R24</f>
        <v>Normal uge 1</v>
      </c>
      <c r="N22" s="231" t="str">
        <f>IF(Maaned!T24&gt;0,Maaned!T24,"")</f>
        <v/>
      </c>
      <c r="O22" s="226" t="str">
        <f>Maaned!S24</f>
        <v/>
      </c>
      <c r="P22" s="400">
        <f>Maaned!W24</f>
        <v>20</v>
      </c>
      <c r="Q22" s="409" t="str">
        <f>Maaned!X24</f>
        <v>sø</v>
      </c>
      <c r="R22" s="409" t="str">
        <f>Maaned!Y24</f>
        <v>Weekend</v>
      </c>
      <c r="S22" s="231" t="str">
        <f>IF(Maaned!AA24&gt;0,Maaned!AA24,"")</f>
        <v/>
      </c>
      <c r="T22" s="226" t="str">
        <f>Maaned!Z24</f>
        <v/>
      </c>
      <c r="U22" s="400">
        <f>Maaned!AD24</f>
        <v>20</v>
      </c>
      <c r="V22" s="409" t="str">
        <f>Maaned!AE24</f>
        <v>ti</v>
      </c>
      <c r="W22" s="409" t="str">
        <f>Maaned!AF24</f>
        <v>Normal uge 1</v>
      </c>
      <c r="X22" s="231" t="str">
        <f>IF(Maaned!AH24&gt;0,Maaned!AH24,"")</f>
        <v/>
      </c>
      <c r="Y22" s="226" t="str">
        <f>Maaned!AG24</f>
        <v/>
      </c>
      <c r="Z22" s="400">
        <f>Maaned!AK24</f>
        <v>20</v>
      </c>
      <c r="AA22" s="409" t="str">
        <f>Maaned!AL24</f>
        <v>fr</v>
      </c>
      <c r="AB22" s="409" t="str">
        <f>Maaned!AM24</f>
        <v>Normal uge 1</v>
      </c>
      <c r="AC22" s="231" t="str">
        <f>IF(Maaned!AO24&gt;0,Maaned!AO24,"")</f>
        <v/>
      </c>
      <c r="AD22" s="232" t="str">
        <f>Maaned!AN24</f>
        <v/>
      </c>
    </row>
    <row r="23" spans="1:30" ht="23" customHeight="1">
      <c r="A23" s="222">
        <f>Maaned!B25</f>
        <v>21</v>
      </c>
      <c r="B23" s="223" t="str">
        <f>Maaned!C25</f>
        <v>sø</v>
      </c>
      <c r="C23" s="224" t="str">
        <f>Maaned!D25</f>
        <v>Weekend</v>
      </c>
      <c r="D23" s="230" t="str">
        <f>IF(Maaned!F25&gt;0,Maaned!F25,"")</f>
        <v/>
      </c>
      <c r="E23" s="226" t="str">
        <f>Maaned!E25</f>
        <v/>
      </c>
      <c r="F23" s="400">
        <f>Maaned!I25</f>
        <v>21</v>
      </c>
      <c r="G23" s="409" t="str">
        <f>Maaned!J25</f>
        <v>on</v>
      </c>
      <c r="H23" s="409" t="str">
        <f>Maaned!K25</f>
        <v>Normal uge 1</v>
      </c>
      <c r="I23" s="231" t="str">
        <f>IF(Maaned!M25&gt;0,Maaned!M25,"")</f>
        <v/>
      </c>
      <c r="J23" s="232" t="str">
        <f>Maaned!L25</f>
        <v/>
      </c>
      <c r="K23" s="222">
        <f>Maaned!P25</f>
        <v>21</v>
      </c>
      <c r="L23" s="223" t="str">
        <f>Maaned!Q25</f>
        <v>fr</v>
      </c>
      <c r="M23" s="224" t="str">
        <f>Maaned!R25</f>
        <v>Normal uge 1</v>
      </c>
      <c r="N23" s="231" t="str">
        <f>IF(Maaned!T25&gt;0,Maaned!T25,"")</f>
        <v/>
      </c>
      <c r="O23" s="226" t="str">
        <f>Maaned!S25</f>
        <v/>
      </c>
      <c r="P23" s="400">
        <f>Maaned!W25</f>
        <v>21</v>
      </c>
      <c r="Q23" s="409" t="str">
        <f>Maaned!X25</f>
        <v>ma</v>
      </c>
      <c r="R23" s="409" t="str">
        <f>Maaned!Y25</f>
        <v>Normal uge 1</v>
      </c>
      <c r="S23" s="231" t="str">
        <f>IF(Maaned!AA25&gt;0,Maaned!AA25,"")</f>
        <v/>
      </c>
      <c r="T23" s="226">
        <f>Maaned!Z25</f>
        <v>47.285714285714285</v>
      </c>
      <c r="U23" s="400">
        <f>Maaned!AD25</f>
        <v>21</v>
      </c>
      <c r="V23" s="409" t="str">
        <f>Maaned!AE25</f>
        <v>on</v>
      </c>
      <c r="W23" s="409" t="str">
        <f>Maaned!AF25</f>
        <v>Normal uge 1</v>
      </c>
      <c r="X23" s="231" t="str">
        <f>IF(Maaned!AH25&gt;0,Maaned!AH25,"")</f>
        <v/>
      </c>
      <c r="Y23" s="226" t="str">
        <f>Maaned!AG25</f>
        <v/>
      </c>
      <c r="Z23" s="400">
        <f>Maaned!AK25</f>
        <v>21</v>
      </c>
      <c r="AA23" s="409" t="str">
        <f>Maaned!AL25</f>
        <v>lø</v>
      </c>
      <c r="AB23" s="409" t="str">
        <f>Maaned!AM25</f>
        <v>Weekend</v>
      </c>
      <c r="AC23" s="231" t="str">
        <f>IF(Maaned!AO25&gt;0,Maaned!AO25,"")</f>
        <v/>
      </c>
      <c r="AD23" s="232" t="str">
        <f>Maaned!AN25</f>
        <v/>
      </c>
    </row>
    <row r="24" spans="1:30" ht="23" customHeight="1">
      <c r="A24" s="222">
        <f>Maaned!B26</f>
        <v>22</v>
      </c>
      <c r="B24" s="223" t="str">
        <f>Maaned!C26</f>
        <v>ma</v>
      </c>
      <c r="C24" s="224" t="str">
        <f>Maaned!D26</f>
        <v>Normal uge 1</v>
      </c>
      <c r="D24" s="230" t="str">
        <f>IF(Maaned!F26&gt;0,Maaned!F26,"")</f>
        <v/>
      </c>
      <c r="E24" s="226">
        <f>Maaned!E26</f>
        <v>34.285714285714285</v>
      </c>
      <c r="F24" s="400">
        <f>Maaned!I26</f>
        <v>22</v>
      </c>
      <c r="G24" s="409" t="str">
        <f>Maaned!J26</f>
        <v>to</v>
      </c>
      <c r="H24" s="409" t="str">
        <f>Maaned!K26</f>
        <v>Normal uge 1</v>
      </c>
      <c r="I24" s="231" t="str">
        <f>IF(Maaned!M26&gt;0,Maaned!M26,"")</f>
        <v/>
      </c>
      <c r="J24" s="232" t="str">
        <f>Maaned!L26</f>
        <v/>
      </c>
      <c r="K24" s="222">
        <f>Maaned!P26</f>
        <v>22</v>
      </c>
      <c r="L24" s="223" t="str">
        <f>Maaned!Q26</f>
        <v>lø</v>
      </c>
      <c r="M24" s="224" t="str">
        <f>Maaned!R26</f>
        <v>Weekend</v>
      </c>
      <c r="N24" s="231" t="str">
        <f>IF(Maaned!T26&gt;0,Maaned!T26,"")</f>
        <v/>
      </c>
      <c r="O24" s="226" t="str">
        <f>Maaned!S26</f>
        <v/>
      </c>
      <c r="P24" s="400">
        <f>Maaned!W26</f>
        <v>22</v>
      </c>
      <c r="Q24" s="409" t="str">
        <f>Maaned!X26</f>
        <v>ti</v>
      </c>
      <c r="R24" s="409" t="str">
        <f>Maaned!Y26</f>
        <v>Normal uge 1</v>
      </c>
      <c r="S24" s="231" t="str">
        <f>IF(Maaned!AA26&gt;0,Maaned!AA26,"")</f>
        <v/>
      </c>
      <c r="T24" s="226" t="str">
        <f>Maaned!Z26</f>
        <v/>
      </c>
      <c r="U24" s="400">
        <f>Maaned!AD26</f>
        <v>22</v>
      </c>
      <c r="V24" s="409" t="str">
        <f>Maaned!AE26</f>
        <v>to</v>
      </c>
      <c r="W24" s="409" t="str">
        <f>Maaned!AF26</f>
        <v>Normal uge 1</v>
      </c>
      <c r="X24" s="231" t="str">
        <f>IF(Maaned!AH26&gt;0,Maaned!AH26,"")</f>
        <v/>
      </c>
      <c r="Y24" s="226" t="str">
        <f>Maaned!AG26</f>
        <v/>
      </c>
      <c r="Z24" s="400">
        <f>Maaned!AK26</f>
        <v>22</v>
      </c>
      <c r="AA24" s="409" t="str">
        <f>Maaned!AL26</f>
        <v>sø</v>
      </c>
      <c r="AB24" s="409" t="str">
        <f>Maaned!AM26</f>
        <v>Weekend</v>
      </c>
      <c r="AC24" s="231" t="str">
        <f>IF(Maaned!AO26&gt;0,Maaned!AO26,"")</f>
        <v/>
      </c>
      <c r="AD24" s="232" t="str">
        <f>Maaned!AN26</f>
        <v/>
      </c>
    </row>
    <row r="25" spans="1:30" ht="23" customHeight="1">
      <c r="A25" s="222">
        <f>Maaned!B27</f>
        <v>23</v>
      </c>
      <c r="B25" s="223" t="str">
        <f>Maaned!C27</f>
        <v>ti</v>
      </c>
      <c r="C25" s="224" t="str">
        <f>Maaned!D27</f>
        <v>Normal uge 1</v>
      </c>
      <c r="D25" s="230" t="str">
        <f>IF(Maaned!F27&gt;0,Maaned!F27,"")</f>
        <v/>
      </c>
      <c r="E25" s="226" t="str">
        <f>Maaned!E27</f>
        <v/>
      </c>
      <c r="F25" s="400">
        <f>Maaned!I27</f>
        <v>23</v>
      </c>
      <c r="G25" s="409" t="str">
        <f>Maaned!J27</f>
        <v>fr</v>
      </c>
      <c r="H25" s="409" t="str">
        <f>Maaned!K27</f>
        <v>Normal uge 1</v>
      </c>
      <c r="I25" s="231" t="str">
        <f>IF(Maaned!M27&gt;0,Maaned!M27,"")</f>
        <v/>
      </c>
      <c r="J25" s="232" t="str">
        <f>Maaned!L27</f>
        <v/>
      </c>
      <c r="K25" s="222">
        <f>Maaned!P27</f>
        <v>23</v>
      </c>
      <c r="L25" s="223" t="str">
        <f>Maaned!Q27</f>
        <v>sø</v>
      </c>
      <c r="M25" s="224" t="str">
        <f>Maaned!R27</f>
        <v>Weekend</v>
      </c>
      <c r="N25" s="231" t="str">
        <f>IF(Maaned!T27&gt;0,Maaned!T27,"")</f>
        <v/>
      </c>
      <c r="O25" s="226" t="str">
        <f>Maaned!S27</f>
        <v/>
      </c>
      <c r="P25" s="400">
        <f>Maaned!W27</f>
        <v>23</v>
      </c>
      <c r="Q25" s="409" t="str">
        <f>Maaned!X27</f>
        <v>on</v>
      </c>
      <c r="R25" s="409" t="str">
        <f>Maaned!Y27</f>
        <v>Normal uge 1</v>
      </c>
      <c r="S25" s="231" t="str">
        <f>IF(Maaned!AA27&gt;0,Maaned!AA27,"")</f>
        <v/>
      </c>
      <c r="T25" s="226" t="str">
        <f>Maaned!Z27</f>
        <v/>
      </c>
      <c r="U25" s="400">
        <f>Maaned!AD27</f>
        <v>23</v>
      </c>
      <c r="V25" s="409" t="str">
        <f>Maaned!AE27</f>
        <v>fr</v>
      </c>
      <c r="W25" s="409" t="str">
        <f>Maaned!AF27</f>
        <v>Normal uge 1</v>
      </c>
      <c r="X25" s="231" t="str">
        <f>IF(Maaned!AH27&gt;0,Maaned!AH27,"")</f>
        <v/>
      </c>
      <c r="Y25" s="226" t="str">
        <f>Maaned!AG27</f>
        <v/>
      </c>
      <c r="Z25" s="400">
        <f>Maaned!AK27</f>
        <v>23</v>
      </c>
      <c r="AA25" s="409" t="str">
        <f>Maaned!AL27</f>
        <v>ma</v>
      </c>
      <c r="AB25" s="409" t="str">
        <f>Maaned!AM27</f>
        <v>Normal uge 1</v>
      </c>
      <c r="AC25" s="231" t="str">
        <f>IF(Maaned!AO27&gt;0,Maaned!AO27,"")</f>
        <v/>
      </c>
      <c r="AD25" s="232">
        <f>Maaned!AN27</f>
        <v>4.1428571428571432</v>
      </c>
    </row>
    <row r="26" spans="1:30" ht="23" customHeight="1">
      <c r="A26" s="222">
        <f>Maaned!B28</f>
        <v>24</v>
      </c>
      <c r="B26" s="223" t="str">
        <f>Maaned!C28</f>
        <v>on</v>
      </c>
      <c r="C26" s="224" t="str">
        <f>Maaned!D28</f>
        <v>Normal uge 1</v>
      </c>
      <c r="D26" s="230" t="str">
        <f>IF(Maaned!F28&gt;0,Maaned!F28,"")</f>
        <v/>
      </c>
      <c r="E26" s="226" t="str">
        <f>Maaned!E28</f>
        <v/>
      </c>
      <c r="F26" s="400">
        <f>Maaned!I28</f>
        <v>24</v>
      </c>
      <c r="G26" s="409" t="str">
        <f>Maaned!J28</f>
        <v>lø</v>
      </c>
      <c r="H26" s="409" t="str">
        <f>Maaned!K28</f>
        <v>Weekend</v>
      </c>
      <c r="I26" s="231" t="str">
        <f>IF(Maaned!M28&gt;0,Maaned!M28,"")</f>
        <v/>
      </c>
      <c r="J26" s="232" t="str">
        <f>Maaned!L28</f>
        <v/>
      </c>
      <c r="K26" s="222">
        <f>Maaned!P28</f>
        <v>24</v>
      </c>
      <c r="L26" s="223" t="str">
        <f>Maaned!Q28</f>
        <v>ma</v>
      </c>
      <c r="M26" s="224" t="str">
        <f>Maaned!R28</f>
        <v>Normal uge 1</v>
      </c>
      <c r="N26" s="231" t="str">
        <f>IF(Maaned!T28&gt;0,Maaned!T28,"")</f>
        <v/>
      </c>
      <c r="O26" s="226">
        <f>Maaned!S28</f>
        <v>43.285714285714285</v>
      </c>
      <c r="P26" s="400">
        <f>Maaned!W28</f>
        <v>24</v>
      </c>
      <c r="Q26" s="409" t="str">
        <f>Maaned!X28</f>
        <v>to</v>
      </c>
      <c r="R26" s="409" t="str">
        <f>Maaned!Y28</f>
        <v>Normal uge 1</v>
      </c>
      <c r="S26" s="231" t="str">
        <f>IF(Maaned!AA28&gt;0,Maaned!AA28,"")</f>
        <v/>
      </c>
      <c r="T26" s="226" t="str">
        <f>Maaned!Z28</f>
        <v/>
      </c>
      <c r="U26" s="400">
        <f>Maaned!AD28</f>
        <v>24</v>
      </c>
      <c r="V26" s="409" t="str">
        <f>Maaned!AE28</f>
        <v>lø</v>
      </c>
      <c r="W26" s="409" t="str">
        <f>Maaned!AF28</f>
        <v>Weekend</v>
      </c>
      <c r="X26" s="231" t="str">
        <f>IF(Maaned!AH28&gt;0,Maaned!AH28,"")</f>
        <v>Juleaftensdag</v>
      </c>
      <c r="Y26" s="226" t="str">
        <f>Maaned!AG28</f>
        <v/>
      </c>
      <c r="Z26" s="400">
        <f>Maaned!AK28</f>
        <v>24</v>
      </c>
      <c r="AA26" s="409" t="str">
        <f>Maaned!AL28</f>
        <v>ti</v>
      </c>
      <c r="AB26" s="409" t="str">
        <f>Maaned!AM28</f>
        <v>Normal uge 1</v>
      </c>
      <c r="AC26" s="231" t="str">
        <f>IF(Maaned!AO28&gt;0,Maaned!AO28,"")</f>
        <v/>
      </c>
      <c r="AD26" s="232" t="str">
        <f>Maaned!AN28</f>
        <v/>
      </c>
    </row>
    <row r="27" spans="1:30" ht="23" customHeight="1">
      <c r="A27" s="222">
        <f>Maaned!B29</f>
        <v>25</v>
      </c>
      <c r="B27" s="223" t="str">
        <f>Maaned!C29</f>
        <v>to</v>
      </c>
      <c r="C27" s="224" t="str">
        <f>Maaned!D29</f>
        <v>Normal uge 1</v>
      </c>
      <c r="D27" s="230" t="str">
        <f>IF(Maaned!F29&gt;0,Maaned!F29,"")</f>
        <v/>
      </c>
      <c r="E27" s="226" t="str">
        <f>Maaned!E29</f>
        <v/>
      </c>
      <c r="F27" s="400">
        <f>Maaned!I29</f>
        <v>25</v>
      </c>
      <c r="G27" s="409" t="str">
        <f>Maaned!J29</f>
        <v>sø</v>
      </c>
      <c r="H27" s="409" t="str">
        <f>Maaned!K29</f>
        <v>Weekend</v>
      </c>
      <c r="I27" s="231" t="str">
        <f>IF(Maaned!M29&gt;0,Maaned!M29,"")</f>
        <v/>
      </c>
      <c r="J27" s="232" t="str">
        <f>Maaned!L29</f>
        <v/>
      </c>
      <c r="K27" s="222">
        <f>Maaned!P29</f>
        <v>25</v>
      </c>
      <c r="L27" s="223" t="str">
        <f>Maaned!Q29</f>
        <v>ti</v>
      </c>
      <c r="M27" s="224" t="str">
        <f>Maaned!R29</f>
        <v>Normal uge 1</v>
      </c>
      <c r="N27" s="231" t="str">
        <f>IF(Maaned!T29&gt;0,Maaned!T29,"")</f>
        <v/>
      </c>
      <c r="O27" s="226" t="str">
        <f>Maaned!S29</f>
        <v/>
      </c>
      <c r="P27" s="400">
        <f>Maaned!W29</f>
        <v>25</v>
      </c>
      <c r="Q27" s="409" t="str">
        <f>Maaned!X29</f>
        <v>fr</v>
      </c>
      <c r="R27" s="409" t="str">
        <f>Maaned!Y29</f>
        <v>Normal uge 1</v>
      </c>
      <c r="S27" s="231" t="str">
        <f>IF(Maaned!AA29&gt;0,Maaned!AA29,"")</f>
        <v/>
      </c>
      <c r="T27" s="226" t="str">
        <f>Maaned!Z29</f>
        <v/>
      </c>
      <c r="U27" s="400">
        <f>Maaned!AD29</f>
        <v>25</v>
      </c>
      <c r="V27" s="409" t="str">
        <f>Maaned!AE29</f>
        <v>sø</v>
      </c>
      <c r="W27" s="409" t="str">
        <f>Maaned!AF29</f>
        <v>Weekend</v>
      </c>
      <c r="X27" s="231" t="str">
        <f>IF(Maaned!AH29&gt;0,Maaned!AH29,"")</f>
        <v>Juledag</v>
      </c>
      <c r="Y27" s="226" t="str">
        <f>Maaned!AG29</f>
        <v/>
      </c>
      <c r="Z27" s="400">
        <f>Maaned!AK29</f>
        <v>25</v>
      </c>
      <c r="AA27" s="409" t="str">
        <f>Maaned!AL29</f>
        <v>on</v>
      </c>
      <c r="AB27" s="409" t="str">
        <f>Maaned!AM29</f>
        <v>Normal uge 1</v>
      </c>
      <c r="AC27" s="231" t="str">
        <f>IF(Maaned!AO29&gt;0,Maaned!AO29,"")</f>
        <v/>
      </c>
      <c r="AD27" s="232" t="str">
        <f>Maaned!AN29</f>
        <v/>
      </c>
    </row>
    <row r="28" spans="1:30" ht="23" customHeight="1">
      <c r="A28" s="222">
        <f>Maaned!B30</f>
        <v>26</v>
      </c>
      <c r="B28" s="223" t="str">
        <f>Maaned!C30</f>
        <v>fr</v>
      </c>
      <c r="C28" s="224" t="str">
        <f>Maaned!D30</f>
        <v>Normal uge 1</v>
      </c>
      <c r="D28" s="230" t="str">
        <f>IF(Maaned!F30&gt;0,Maaned!F30,"")</f>
        <v/>
      </c>
      <c r="E28" s="226" t="str">
        <f>Maaned!E30</f>
        <v/>
      </c>
      <c r="F28" s="400">
        <f>Maaned!I30</f>
        <v>26</v>
      </c>
      <c r="G28" s="409" t="str">
        <f>Maaned!J30</f>
        <v>ma</v>
      </c>
      <c r="H28" s="409" t="str">
        <f>Maaned!K30</f>
        <v>Normal uge 1</v>
      </c>
      <c r="I28" s="231" t="str">
        <f>IF(Maaned!M30&gt;0,Maaned!M30,"")</f>
        <v/>
      </c>
      <c r="J28" s="232">
        <f>Maaned!L30</f>
        <v>39.285714285714285</v>
      </c>
      <c r="K28" s="222">
        <f>Maaned!P30</f>
        <v>26</v>
      </c>
      <c r="L28" s="223" t="str">
        <f>Maaned!Q30</f>
        <v>on</v>
      </c>
      <c r="M28" s="224" t="str">
        <f>Maaned!R30</f>
        <v>Normal uge 1</v>
      </c>
      <c r="N28" s="231" t="str">
        <f>IF(Maaned!T30&gt;0,Maaned!T30,"")</f>
        <v/>
      </c>
      <c r="O28" s="226" t="str">
        <f>Maaned!S30</f>
        <v/>
      </c>
      <c r="P28" s="400">
        <f>Maaned!W30</f>
        <v>26</v>
      </c>
      <c r="Q28" s="409" t="str">
        <f>Maaned!X30</f>
        <v>lø</v>
      </c>
      <c r="R28" s="409" t="str">
        <f>Maaned!Y30</f>
        <v>Weekend</v>
      </c>
      <c r="S28" s="231" t="str">
        <f>IF(Maaned!AA30&gt;0,Maaned!AA30,"")</f>
        <v/>
      </c>
      <c r="T28" s="226" t="str">
        <f>Maaned!Z30</f>
        <v/>
      </c>
      <c r="U28" s="400">
        <f>Maaned!AD30</f>
        <v>26</v>
      </c>
      <c r="V28" s="409" t="str">
        <f>Maaned!AE30</f>
        <v>ma</v>
      </c>
      <c r="W28" s="409" t="str">
        <f>Maaned!AF30</f>
        <v>SH-dag</v>
      </c>
      <c r="X28" s="231" t="str">
        <f>IF(Maaned!AH30&gt;0,Maaned!AH30,"")</f>
        <v>2. Juledag</v>
      </c>
      <c r="Y28" s="226">
        <f>Maaned!AG30</f>
        <v>52.285714285714285</v>
      </c>
      <c r="Z28" s="400">
        <f>Maaned!AK30</f>
        <v>26</v>
      </c>
      <c r="AA28" s="409" t="str">
        <f>Maaned!AL30</f>
        <v>to</v>
      </c>
      <c r="AB28" s="409" t="str">
        <f>Maaned!AM30</f>
        <v>Normal uge 1</v>
      </c>
      <c r="AC28" s="231" t="str">
        <f>IF(Maaned!AO30&gt;0,Maaned!AO30,"")</f>
        <v/>
      </c>
      <c r="AD28" s="232" t="str">
        <f>Maaned!AN30</f>
        <v/>
      </c>
    </row>
    <row r="29" spans="1:30" ht="23" customHeight="1">
      <c r="A29" s="222">
        <f>Maaned!B31</f>
        <v>27</v>
      </c>
      <c r="B29" s="223" t="str">
        <f>Maaned!C31</f>
        <v>lø</v>
      </c>
      <c r="C29" s="224" t="str">
        <f>Maaned!D31</f>
        <v>Weekend</v>
      </c>
      <c r="D29" s="230" t="str">
        <f>IF(Maaned!F31&gt;0,Maaned!F31,"")</f>
        <v/>
      </c>
      <c r="E29" s="226" t="str">
        <f>Maaned!E31</f>
        <v/>
      </c>
      <c r="F29" s="400">
        <f>Maaned!I31</f>
        <v>27</v>
      </c>
      <c r="G29" s="409" t="str">
        <f>Maaned!J31</f>
        <v>ti</v>
      </c>
      <c r="H29" s="409" t="str">
        <f>Maaned!K31</f>
        <v>Normal uge 1</v>
      </c>
      <c r="I29" s="231" t="str">
        <f>IF(Maaned!M31&gt;0,Maaned!M31,"")</f>
        <v/>
      </c>
      <c r="J29" s="232" t="str">
        <f>Maaned!L31</f>
        <v/>
      </c>
      <c r="K29" s="222">
        <f>Maaned!P31</f>
        <v>27</v>
      </c>
      <c r="L29" s="223" t="str">
        <f>Maaned!Q31</f>
        <v>to</v>
      </c>
      <c r="M29" s="224" t="str">
        <f>Maaned!R31</f>
        <v>Normal uge 1</v>
      </c>
      <c r="N29" s="231" t="str">
        <f>IF(Maaned!T31&gt;0,Maaned!T31,"")</f>
        <v/>
      </c>
      <c r="O29" s="226" t="str">
        <f>Maaned!S31</f>
        <v/>
      </c>
      <c r="P29" s="400">
        <f>Maaned!W31</f>
        <v>27</v>
      </c>
      <c r="Q29" s="409" t="str">
        <f>Maaned!X31</f>
        <v>sø</v>
      </c>
      <c r="R29" s="409" t="str">
        <f>Maaned!Y31</f>
        <v>Weekend</v>
      </c>
      <c r="S29" s="231" t="str">
        <f>IF(Maaned!AA31&gt;0,Maaned!AA31,"")</f>
        <v/>
      </c>
      <c r="T29" s="226" t="str">
        <f>Maaned!Z31</f>
        <v/>
      </c>
      <c r="U29" s="400">
        <f>Maaned!AD31</f>
        <v>27</v>
      </c>
      <c r="V29" s="409" t="str">
        <f>Maaned!AE31</f>
        <v>ti</v>
      </c>
      <c r="W29" s="409" t="str">
        <f>Maaned!AF31</f>
        <v>Normal uge 1</v>
      </c>
      <c r="X29" s="231" t="str">
        <f>IF(Maaned!AH31&gt;0,Maaned!AH31,"")</f>
        <v/>
      </c>
      <c r="Y29" s="226" t="str">
        <f>Maaned!AG31</f>
        <v/>
      </c>
      <c r="Z29" s="400">
        <f>Maaned!AK31</f>
        <v>27</v>
      </c>
      <c r="AA29" s="409" t="str">
        <f>Maaned!AL31</f>
        <v>fr</v>
      </c>
      <c r="AB29" s="409" t="str">
        <f>Maaned!AM31</f>
        <v>Normal uge 1</v>
      </c>
      <c r="AC29" s="231" t="str">
        <f>IF(Maaned!AO31&gt;0,Maaned!AO31,"")</f>
        <v/>
      </c>
      <c r="AD29" s="232" t="str">
        <f>Maaned!AN31</f>
        <v/>
      </c>
    </row>
    <row r="30" spans="1:30" ht="23" customHeight="1">
      <c r="A30" s="222">
        <f>Maaned!B32</f>
        <v>28</v>
      </c>
      <c r="B30" s="223" t="str">
        <f>Maaned!C32</f>
        <v>sø</v>
      </c>
      <c r="C30" s="224" t="str">
        <f>Maaned!D32</f>
        <v>Weekend</v>
      </c>
      <c r="D30" s="230" t="str">
        <f>IF(Maaned!F32&gt;0,Maaned!F32,"")</f>
        <v/>
      </c>
      <c r="E30" s="226" t="str">
        <f>Maaned!E32</f>
        <v/>
      </c>
      <c r="F30" s="400">
        <f>Maaned!I32</f>
        <v>28</v>
      </c>
      <c r="G30" s="409" t="str">
        <f>Maaned!J32</f>
        <v>on</v>
      </c>
      <c r="H30" s="409" t="str">
        <f>Maaned!K32</f>
        <v>Normal uge 1</v>
      </c>
      <c r="I30" s="231" t="str">
        <f>IF(Maaned!M32&gt;0,Maaned!M32,"")</f>
        <v/>
      </c>
      <c r="J30" s="232" t="str">
        <f>Maaned!L32</f>
        <v/>
      </c>
      <c r="K30" s="222">
        <f>Maaned!P32</f>
        <v>28</v>
      </c>
      <c r="L30" s="223" t="str">
        <f>Maaned!Q32</f>
        <v>fr</v>
      </c>
      <c r="M30" s="224" t="str">
        <f>Maaned!R32</f>
        <v>Normal uge 1</v>
      </c>
      <c r="N30" s="231" t="str">
        <f>IF(Maaned!T32&gt;0,Maaned!T32,"")</f>
        <v/>
      </c>
      <c r="O30" s="226" t="str">
        <f>Maaned!S32</f>
        <v/>
      </c>
      <c r="P30" s="400">
        <f>Maaned!W32</f>
        <v>28</v>
      </c>
      <c r="Q30" s="409" t="str">
        <f>Maaned!X32</f>
        <v>ma</v>
      </c>
      <c r="R30" s="409" t="str">
        <f>Maaned!Y32</f>
        <v>Normal uge 1</v>
      </c>
      <c r="S30" s="231" t="str">
        <f>IF(Maaned!AA32&gt;0,Maaned!AA32,"")</f>
        <v/>
      </c>
      <c r="T30" s="226">
        <f>Maaned!Z32</f>
        <v>48.285714285714285</v>
      </c>
      <c r="U30" s="400">
        <f>Maaned!AD32</f>
        <v>28</v>
      </c>
      <c r="V30" s="409" t="str">
        <f>Maaned!AE32</f>
        <v>on</v>
      </c>
      <c r="W30" s="409" t="str">
        <f>Maaned!AF32</f>
        <v>Normal uge 1</v>
      </c>
      <c r="X30" s="231" t="str">
        <f>IF(Maaned!AH32&gt;0,Maaned!AH32,"")</f>
        <v/>
      </c>
      <c r="Y30" s="226" t="str">
        <f>Maaned!AG32</f>
        <v/>
      </c>
      <c r="Z30" s="400">
        <f>Maaned!AK32</f>
        <v>28</v>
      </c>
      <c r="AA30" s="409" t="str">
        <f>Maaned!AL32</f>
        <v>lø</v>
      </c>
      <c r="AB30" s="409" t="str">
        <f>Maaned!AM32</f>
        <v>Weekend</v>
      </c>
      <c r="AC30" s="231" t="str">
        <f>IF(Maaned!AO32&gt;0,Maaned!AO32,"")</f>
        <v/>
      </c>
      <c r="AD30" s="232" t="str">
        <f>Maaned!AN32</f>
        <v/>
      </c>
    </row>
    <row r="31" spans="1:30" ht="23" customHeight="1">
      <c r="A31" s="222">
        <f>Maaned!B33</f>
        <v>29</v>
      </c>
      <c r="B31" s="223" t="str">
        <f>Maaned!C33</f>
        <v>ma</v>
      </c>
      <c r="C31" s="224" t="str">
        <f>Maaned!D33</f>
        <v>Normal uge 1</v>
      </c>
      <c r="D31" s="230" t="str">
        <f>IF(Maaned!F33&gt;0,Maaned!F33,"")</f>
        <v/>
      </c>
      <c r="E31" s="226">
        <f>Maaned!E33</f>
        <v>35.285714285714285</v>
      </c>
      <c r="F31" s="400">
        <f>Maaned!I33</f>
        <v>29</v>
      </c>
      <c r="G31" s="409" t="str">
        <f>Maaned!J33</f>
        <v>to</v>
      </c>
      <c r="H31" s="409" t="str">
        <f>Maaned!K33</f>
        <v>Normal uge 1</v>
      </c>
      <c r="I31" s="231" t="str">
        <f>IF(Maaned!M33&gt;0,Maaned!M33,"")</f>
        <v/>
      </c>
      <c r="J31" s="232" t="str">
        <f>Maaned!L33</f>
        <v/>
      </c>
      <c r="K31" s="222">
        <f>Maaned!P33</f>
        <v>29</v>
      </c>
      <c r="L31" s="223" t="str">
        <f>Maaned!Q33</f>
        <v>lø</v>
      </c>
      <c r="M31" s="224" t="str">
        <f>Maaned!R33</f>
        <v>Weekend</v>
      </c>
      <c r="N31" s="231" t="str">
        <f>IF(Maaned!T33&gt;0,Maaned!T33,"")</f>
        <v/>
      </c>
      <c r="O31" s="226" t="str">
        <f>Maaned!S33</f>
        <v/>
      </c>
      <c r="P31" s="400">
        <f>Maaned!W33</f>
        <v>29</v>
      </c>
      <c r="Q31" s="409" t="str">
        <f>Maaned!X33</f>
        <v>ti</v>
      </c>
      <c r="R31" s="409" t="str">
        <f>Maaned!Y33</f>
        <v>Normal uge 1</v>
      </c>
      <c r="S31" s="231" t="str">
        <f>IF(Maaned!AA33&gt;0,Maaned!AA33,"")</f>
        <v/>
      </c>
      <c r="T31" s="226" t="str">
        <f>Maaned!Z33</f>
        <v/>
      </c>
      <c r="U31" s="400">
        <f>Maaned!AD33</f>
        <v>29</v>
      </c>
      <c r="V31" s="409" t="str">
        <f>Maaned!AE33</f>
        <v>to</v>
      </c>
      <c r="W31" s="409" t="str">
        <f>Maaned!AF33</f>
        <v>Normal uge 1</v>
      </c>
      <c r="X31" s="231" t="str">
        <f>IF(Maaned!AH33&gt;0,Maaned!AH33,"")</f>
        <v/>
      </c>
      <c r="Y31" s="226" t="str">
        <f>Maaned!AG33</f>
        <v/>
      </c>
      <c r="Z31" s="400">
        <f>Maaned!AK33</f>
        <v>29</v>
      </c>
      <c r="AA31" s="409" t="str">
        <f>Maaned!AL33</f>
        <v>sø</v>
      </c>
      <c r="AB31" s="409" t="str">
        <f>Maaned!AM33</f>
        <v>Weekend</v>
      </c>
      <c r="AC31" s="231" t="str">
        <f>IF(Maaned!AO33&gt;0,Maaned!AO33,"")</f>
        <v/>
      </c>
      <c r="AD31" s="232" t="str">
        <f>Maaned!AN33</f>
        <v/>
      </c>
    </row>
    <row r="32" spans="1:30" ht="23" customHeight="1">
      <c r="A32" s="222">
        <f>Maaned!B34</f>
        <v>30</v>
      </c>
      <c r="B32" s="223" t="str">
        <f>Maaned!C34</f>
        <v>ti</v>
      </c>
      <c r="C32" s="224" t="str">
        <f>Maaned!D34</f>
        <v>Normal uge 1</v>
      </c>
      <c r="D32" s="230" t="str">
        <f>IF(Maaned!F34&gt;0,Maaned!F34,"")</f>
        <v/>
      </c>
      <c r="E32" s="226" t="str">
        <f>Maaned!E34</f>
        <v/>
      </c>
      <c r="F32" s="243">
        <f>Maaned!I34</f>
        <v>30</v>
      </c>
      <c r="G32" s="244" t="str">
        <f>Maaned!J34</f>
        <v>fr</v>
      </c>
      <c r="H32" s="244" t="str">
        <f>Maaned!K34</f>
        <v>Normal uge 1</v>
      </c>
      <c r="I32" s="233" t="str">
        <f>IF(Maaned!M34&gt;0,Maaned!M34,"")</f>
        <v/>
      </c>
      <c r="J32" s="234" t="str">
        <f>Maaned!L34</f>
        <v/>
      </c>
      <c r="K32" s="222">
        <f>Maaned!P34</f>
        <v>30</v>
      </c>
      <c r="L32" s="223" t="str">
        <f>Maaned!Q34</f>
        <v>sø</v>
      </c>
      <c r="M32" s="224" t="str">
        <f>Maaned!R34</f>
        <v>Weekend</v>
      </c>
      <c r="N32" s="231" t="str">
        <f>IF(Maaned!T34&gt;0,Maaned!T34,"")</f>
        <v/>
      </c>
      <c r="O32" s="226" t="str">
        <f>Maaned!S34</f>
        <v/>
      </c>
      <c r="P32" s="243">
        <f>Maaned!W34</f>
        <v>30</v>
      </c>
      <c r="Q32" s="244" t="str">
        <f>Maaned!X34</f>
        <v>on</v>
      </c>
      <c r="R32" s="244" t="str">
        <f>Maaned!Y34</f>
        <v>Normal uge 1</v>
      </c>
      <c r="S32" s="233" t="str">
        <f>IF(Maaned!AA34&gt;0,Maaned!AA34,"")</f>
        <v/>
      </c>
      <c r="T32" s="411" t="str">
        <f>Maaned!Z34</f>
        <v/>
      </c>
      <c r="U32" s="400">
        <f>Maaned!AD34</f>
        <v>30</v>
      </c>
      <c r="V32" s="409" t="str">
        <f>Maaned!AE34</f>
        <v>fr</v>
      </c>
      <c r="W32" s="409" t="str">
        <f>Maaned!AF34</f>
        <v>Normal uge 1</v>
      </c>
      <c r="X32" s="231" t="str">
        <f>IF(Maaned!AH34&gt;0,Maaned!AH34,"")</f>
        <v/>
      </c>
      <c r="Y32" s="226" t="str">
        <f>Maaned!AG34</f>
        <v/>
      </c>
      <c r="Z32" s="400">
        <f>Maaned!AK34</f>
        <v>30</v>
      </c>
      <c r="AA32" s="409" t="str">
        <f>Maaned!AL34</f>
        <v>ma</v>
      </c>
      <c r="AB32" s="409" t="str">
        <f>Maaned!AM34</f>
        <v>Normal uge 1</v>
      </c>
      <c r="AC32" s="231" t="str">
        <f>IF(Maaned!AO34&gt;0,Maaned!AO34,"")</f>
        <v/>
      </c>
      <c r="AD32" s="232">
        <f>Maaned!AN34</f>
        <v>5.1428571428571432</v>
      </c>
    </row>
    <row r="33" spans="1:44" ht="23" customHeight="1">
      <c r="A33" s="222">
        <f>Maaned!B35</f>
        <v>31</v>
      </c>
      <c r="B33" s="223" t="str">
        <f>Maaned!C35</f>
        <v>on</v>
      </c>
      <c r="C33" s="224" t="str">
        <f>Maaned!D35</f>
        <v>Normal uge 1</v>
      </c>
      <c r="D33" s="233" t="str">
        <f>IF(Maaned!F35&gt;0,Maaned!F35,"")</f>
        <v/>
      </c>
      <c r="E33" s="226" t="str">
        <f>Maaned!E35</f>
        <v/>
      </c>
      <c r="F33" s="405"/>
      <c r="G33" s="406"/>
      <c r="H33" s="509"/>
      <c r="I33" s="410"/>
      <c r="J33" s="510"/>
      <c r="K33" s="222">
        <f>Maaned!P35</f>
        <v>31</v>
      </c>
      <c r="L33" s="223" t="str">
        <f>Maaned!Q35</f>
        <v>ma</v>
      </c>
      <c r="M33" s="224" t="str">
        <f>Maaned!R35</f>
        <v>Normal uge 1</v>
      </c>
      <c r="N33" s="233" t="str">
        <f>IF(Maaned!T35&gt;0,Maaned!T35,"")</f>
        <v/>
      </c>
      <c r="O33" s="226">
        <f>Maaned!S35</f>
        <v>44.285714285714285</v>
      </c>
      <c r="P33" s="261"/>
      <c r="Q33" s="262"/>
      <c r="R33" s="262"/>
      <c r="S33" s="410"/>
      <c r="T33" s="412"/>
      <c r="U33" s="243">
        <f>Maaned!AD35</f>
        <v>31</v>
      </c>
      <c r="V33" s="244" t="str">
        <f>Maaned!AE35</f>
        <v>lø</v>
      </c>
      <c r="W33" s="244" t="str">
        <f>Maaned!AF35</f>
        <v>Weekend</v>
      </c>
      <c r="X33" s="233" t="str">
        <f>IF(Maaned!AH35&gt;0,Maaned!AH35,"")</f>
        <v>Nytårsaftensdag</v>
      </c>
      <c r="Y33" s="411" t="str">
        <f>Maaned!AG35</f>
        <v/>
      </c>
      <c r="Z33" s="243">
        <f>Maaned!AK35</f>
        <v>31</v>
      </c>
      <c r="AA33" s="244" t="str">
        <f>Maaned!AL35</f>
        <v>ti</v>
      </c>
      <c r="AB33" s="244" t="str">
        <f>Maaned!AM35</f>
        <v>Normal uge 1</v>
      </c>
      <c r="AC33" s="233" t="str">
        <f>IF(Maaned!AO35&gt;0,Maaned!AO35,"")</f>
        <v/>
      </c>
      <c r="AD33" s="234" t="str">
        <f>Maaned!AN35</f>
        <v/>
      </c>
    </row>
    <row r="34" spans="1:44" ht="23" customHeight="1">
      <c r="A34" s="193"/>
      <c r="B34" s="193"/>
      <c r="C34" s="193"/>
      <c r="D34" s="193"/>
      <c r="E34" s="193"/>
      <c r="F34" s="194"/>
      <c r="G34" s="194"/>
      <c r="H34" s="194"/>
      <c r="I34" s="194"/>
      <c r="J34" s="194"/>
      <c r="K34" s="193"/>
      <c r="L34" s="193"/>
      <c r="M34" s="193"/>
      <c r="N34" s="193"/>
      <c r="O34" s="193"/>
      <c r="P34" s="194"/>
      <c r="Q34" s="194"/>
      <c r="R34" s="194"/>
      <c r="S34" s="194"/>
      <c r="T34" s="194"/>
      <c r="U34" s="235"/>
      <c r="V34" s="235"/>
      <c r="W34" s="235"/>
      <c r="X34" s="235"/>
      <c r="Y34" s="235"/>
      <c r="Z34" s="236"/>
      <c r="AA34" s="236"/>
      <c r="AB34" s="235"/>
      <c r="AC34" s="235"/>
      <c r="AD34" s="237"/>
    </row>
    <row r="35" spans="1:44" s="184" customFormat="1" ht="24" customHeight="1">
      <c r="A35" s="195" t="s">
        <v>77</v>
      </c>
      <c r="B35" s="196"/>
      <c r="C35" s="196"/>
      <c r="D35" s="197"/>
      <c r="E35" s="414">
        <f>Maaned!CJ35</f>
        <v>365</v>
      </c>
      <c r="F35" s="294"/>
      <c r="G35" s="360" t="s">
        <v>97</v>
      </c>
      <c r="H35" s="361"/>
      <c r="I35" s="361"/>
      <c r="J35" s="361"/>
      <c r="K35" s="364">
        <f>Maaned!CJ19</f>
        <v>0</v>
      </c>
      <c r="L35" s="296"/>
      <c r="M35" s="375" t="s">
        <v>100</v>
      </c>
      <c r="N35" s="376"/>
      <c r="O35" s="379">
        <f>Maaned!CJ22</f>
        <v>0</v>
      </c>
      <c r="P35" s="200"/>
      <c r="Q35" s="381" t="s">
        <v>81</v>
      </c>
      <c r="R35" s="382"/>
      <c r="S35" s="382"/>
      <c r="T35" s="384">
        <f>Maaned!CJ29</f>
        <v>0</v>
      </c>
      <c r="U35" s="294"/>
      <c r="V35" s="334" t="s">
        <v>101</v>
      </c>
      <c r="W35" s="335"/>
      <c r="X35" s="335"/>
      <c r="Y35" s="337">
        <f>Maaned!CJ32</f>
        <v>0</v>
      </c>
      <c r="Z35" s="229"/>
      <c r="AD35" s="229"/>
      <c r="AH35" s="229"/>
    </row>
    <row r="36" spans="1:44" s="184" customFormat="1" ht="12">
      <c r="F36" s="229"/>
      <c r="L36" s="229"/>
      <c r="U36" s="229"/>
      <c r="Z36" s="229"/>
      <c r="AD36" s="229"/>
      <c r="AH36" s="229"/>
    </row>
    <row r="37" spans="1:44" s="184" customFormat="1" ht="24" customHeight="1">
      <c r="A37" s="204" t="s">
        <v>194</v>
      </c>
      <c r="B37" s="205"/>
      <c r="C37" s="205"/>
      <c r="D37" s="206"/>
      <c r="E37" s="415">
        <f>Maaned!CJ17</f>
        <v>254</v>
      </c>
      <c r="F37" s="229"/>
      <c r="G37" s="365" t="s">
        <v>98</v>
      </c>
      <c r="H37" s="366"/>
      <c r="I37" s="366"/>
      <c r="J37" s="366"/>
      <c r="K37" s="369">
        <f>Maaned!CJ20</f>
        <v>0</v>
      </c>
      <c r="L37" s="229"/>
      <c r="M37" s="346" t="s">
        <v>78</v>
      </c>
      <c r="N37" s="347"/>
      <c r="O37" s="350">
        <f>Maaned!CJ27</f>
        <v>0</v>
      </c>
      <c r="Q37" s="201" t="s">
        <v>62</v>
      </c>
      <c r="R37" s="202"/>
      <c r="S37" s="202"/>
      <c r="T37" s="203">
        <f>Maaned!CJ30</f>
        <v>104</v>
      </c>
      <c r="U37" s="229"/>
      <c r="V37" s="338" t="s">
        <v>102</v>
      </c>
      <c r="W37" s="339"/>
      <c r="X37" s="339"/>
      <c r="Y37" s="342">
        <f>Maaned!CJ33</f>
        <v>0</v>
      </c>
      <c r="Z37" s="229"/>
      <c r="AD37" s="229"/>
      <c r="AH37" s="229"/>
    </row>
    <row r="38" spans="1:44" s="184" customFormat="1" ht="12">
      <c r="F38" s="229"/>
      <c r="L38" s="229"/>
      <c r="U38" s="229"/>
      <c r="Z38" s="229"/>
      <c r="AD38" s="229"/>
      <c r="AH38" s="229"/>
    </row>
    <row r="39" spans="1:44" s="184" customFormat="1" ht="23" customHeight="1">
      <c r="A39" s="355" t="s">
        <v>195</v>
      </c>
      <c r="B39" s="356"/>
      <c r="C39" s="356"/>
      <c r="D39" s="357"/>
      <c r="E39" s="359">
        <f>Maaned!CJ18</f>
        <v>0</v>
      </c>
      <c r="F39" s="229"/>
      <c r="G39" s="370" t="s">
        <v>99</v>
      </c>
      <c r="H39" s="371"/>
      <c r="I39" s="371"/>
      <c r="J39" s="371"/>
      <c r="K39" s="374">
        <f>Maaned!CJ21</f>
        <v>0</v>
      </c>
      <c r="L39" s="229"/>
      <c r="M39" s="351" t="s">
        <v>66</v>
      </c>
      <c r="N39" s="352"/>
      <c r="O39" s="354">
        <f>Maaned!CJ28</f>
        <v>0</v>
      </c>
      <c r="Q39" s="386" t="s">
        <v>57</v>
      </c>
      <c r="R39" s="387"/>
      <c r="S39" s="387"/>
      <c r="T39" s="390">
        <f>Maaned!CJ31</f>
        <v>7</v>
      </c>
      <c r="U39" s="229"/>
      <c r="V39" s="195" t="s">
        <v>103</v>
      </c>
      <c r="W39" s="196"/>
      <c r="X39" s="196"/>
      <c r="Y39" s="199">
        <f>Maaned!CJ34</f>
        <v>0</v>
      </c>
      <c r="Z39" s="229"/>
      <c r="AD39" s="229"/>
      <c r="AH39" s="229"/>
    </row>
    <row r="40" spans="1:44" s="184" customFormat="1" ht="12">
      <c r="F40" s="229"/>
      <c r="L40" s="229"/>
      <c r="P40" s="229"/>
      <c r="AB40" s="229"/>
      <c r="AF40" s="229"/>
      <c r="AJ40" s="229"/>
      <c r="AN40" s="229"/>
      <c r="AR40" s="229"/>
    </row>
    <row r="41" spans="1:44" s="184" customFormat="1" ht="16">
      <c r="A41" s="204" t="str">
        <f>Maaned!CI37</f>
        <v>Norm. 1 Mandag</v>
      </c>
      <c r="B41" s="205"/>
      <c r="C41" s="205"/>
      <c r="D41" s="206"/>
      <c r="E41" s="208">
        <f>Maaned!CJ37</f>
        <v>50</v>
      </c>
      <c r="F41" s="229"/>
      <c r="G41" s="343" t="str">
        <f>Maaned!CI43</f>
        <v>Norm. 2 Mandag</v>
      </c>
      <c r="H41" s="344"/>
      <c r="I41" s="344"/>
      <c r="J41" s="344"/>
      <c r="K41" s="345">
        <f>Maaned!CJ43</f>
        <v>0</v>
      </c>
      <c r="L41" s="229"/>
      <c r="P41" s="229"/>
      <c r="AB41" s="229"/>
      <c r="AF41" s="229"/>
      <c r="AJ41" s="229"/>
      <c r="AN41" s="229"/>
      <c r="AR41" s="229"/>
    </row>
    <row r="42" spans="1:44" s="184" customFormat="1" ht="16">
      <c r="A42" s="204" t="str">
        <f>Maaned!CI38</f>
        <v>Norm. 1 Tirsdag</v>
      </c>
      <c r="B42" s="205"/>
      <c r="C42" s="205"/>
      <c r="D42" s="206"/>
      <c r="E42" s="208">
        <f>Maaned!CJ38</f>
        <v>52</v>
      </c>
      <c r="F42" s="229"/>
      <c r="G42" s="343" t="str">
        <f>Maaned!CI44</f>
        <v>Norm. 2 Tirsdag</v>
      </c>
      <c r="H42" s="344"/>
      <c r="I42" s="344"/>
      <c r="J42" s="344"/>
      <c r="K42" s="345">
        <f>Maaned!CJ44</f>
        <v>0</v>
      </c>
      <c r="L42" s="229"/>
      <c r="P42" s="229"/>
      <c r="AB42" s="229"/>
      <c r="AF42" s="229"/>
      <c r="AJ42" s="229"/>
      <c r="AN42" s="229"/>
      <c r="AR42" s="229"/>
    </row>
    <row r="43" spans="1:44" s="184" customFormat="1" ht="16">
      <c r="A43" s="204" t="str">
        <f>Maaned!CI39</f>
        <v>Norm. 1 Onsdag</v>
      </c>
      <c r="B43" s="205"/>
      <c r="C43" s="205"/>
      <c r="D43" s="206"/>
      <c r="E43" s="208">
        <f>Maaned!CJ39</f>
        <v>52</v>
      </c>
      <c r="F43" s="229"/>
      <c r="G43" s="343" t="str">
        <f>Maaned!CI45</f>
        <v>Norm. 2 Onsdag</v>
      </c>
      <c r="H43" s="344"/>
      <c r="I43" s="344"/>
      <c r="J43" s="344"/>
      <c r="K43" s="345">
        <f>Maaned!CJ45</f>
        <v>0</v>
      </c>
      <c r="L43" s="229"/>
      <c r="P43" s="229"/>
      <c r="AB43" s="229"/>
      <c r="AF43" s="229"/>
      <c r="AJ43" s="229"/>
      <c r="AN43" s="229"/>
      <c r="AR43" s="229"/>
    </row>
    <row r="44" spans="1:44" s="184" customFormat="1" ht="16">
      <c r="A44" s="394" t="str">
        <f>Maaned!CI40</f>
        <v>Norm. 1 Torsdag</v>
      </c>
      <c r="E44" s="395">
        <f>Maaned!CJ40</f>
        <v>50</v>
      </c>
      <c r="F44" s="229"/>
      <c r="G44" s="343" t="str">
        <f>Maaned!CI46</f>
        <v>Norm. 2 Torsdag</v>
      </c>
      <c r="H44" s="344"/>
      <c r="I44" s="344"/>
      <c r="J44" s="344"/>
      <c r="K44" s="345">
        <f>Maaned!CJ46</f>
        <v>0</v>
      </c>
      <c r="L44" s="229"/>
      <c r="P44" s="229"/>
      <c r="AB44" s="229"/>
      <c r="AF44" s="229"/>
      <c r="AJ44" s="229"/>
      <c r="AN44" s="229"/>
      <c r="AR44" s="229"/>
    </row>
    <row r="45" spans="1:44" s="184" customFormat="1" ht="16">
      <c r="A45" s="204" t="str">
        <f>Maaned!CI41</f>
        <v>Norm. 1 Fredag</v>
      </c>
      <c r="B45" s="396"/>
      <c r="C45" s="396"/>
      <c r="D45" s="396"/>
      <c r="E45" s="208">
        <f>Maaned!CJ41</f>
        <v>50</v>
      </c>
      <c r="F45" s="229"/>
      <c r="G45" s="343" t="str">
        <f>Maaned!CI47</f>
        <v>Norm. 2 Fredag</v>
      </c>
      <c r="H45" s="344"/>
      <c r="I45" s="344"/>
      <c r="J45" s="344"/>
      <c r="K45" s="345">
        <f>Maaned!CJ47</f>
        <v>0</v>
      </c>
      <c r="L45" s="229"/>
      <c r="P45" s="229"/>
      <c r="AB45" s="229"/>
      <c r="AF45" s="229"/>
      <c r="AJ45" s="229"/>
      <c r="AN45" s="229"/>
      <c r="AR45" s="229"/>
    </row>
  </sheetData>
  <sheetProtection sheet="1" objects="1" scenarios="1" formatCells="0" formatColumns="0" formatRows="0" insertColumns="0"/>
  <printOptions horizontalCentered="1" verticalCentered="1"/>
  <pageMargins left="0.35433070866141736" right="0.35433070866141736" top="0.39370078740157483" bottom="0.39370078740157483" header="0.11811023622047245" footer="0.11811023622047245"/>
  <pageSetup scale="36" orientation="portrait" horizontalDpi="4294967292" verticalDpi="4294967292"/>
  <ignoredErrors>
    <ignoredError sqref="C33:E33 D3:E3 C4:E32 K5:AB32 K3:AB3 K4:AB4 K33:AB33 AD3 AD5:AD32 AD4 AD33" unlockedFormula="1"/>
  </ignoredErrors>
  <extLst>
    <ext xmlns:x14="http://schemas.microsoft.com/office/spreadsheetml/2009/9/main" uri="{78C0D931-6437-407d-A8EE-F0AAD7539E65}">
      <x14:conditionalFormattings>
        <x14:conditionalFormatting xmlns:xm="http://schemas.microsoft.com/office/excel/2006/main">
          <x14:cfRule type="expression" priority="21" id="{29628CF0-D10D-014E-BA27-08B7235A2AA2}">
            <xm:f>OR(Maaned!$D5="Rul 4")</xm:f>
            <x14:dxf>
              <font>
                <color theme="1"/>
              </font>
              <fill>
                <patternFill>
                  <bgColor theme="5" tint="-0.24994659260841701"/>
                </patternFill>
              </fill>
            </x14:dxf>
          </x14:cfRule>
          <x14:cfRule type="expression" priority="22" id="{60A21843-2754-5C4F-A8AD-C5CA87730EB7}">
            <xm:f>OR(Maaned!$D5="Rul 3")</xm:f>
            <x14:dxf>
              <font>
                <color theme="1"/>
              </font>
              <fill>
                <patternFill>
                  <bgColor theme="5" tint="0.39994506668294322"/>
                </patternFill>
              </fill>
            </x14:dxf>
          </x14:cfRule>
          <x14:cfRule type="expression" priority="23" id="{4B826647-5B29-7345-B213-A0EAFFB2D604}">
            <xm:f>OR(Maaned!$D5="Rul 2")</xm:f>
            <x14:dxf>
              <font>
                <color theme="1"/>
              </font>
              <fill>
                <patternFill>
                  <bgColor theme="5" tint="0.59996337778862885"/>
                </patternFill>
              </fill>
            </x14:dxf>
          </x14:cfRule>
          <x14:cfRule type="expression" priority="24" id="{C4AD807D-0ED2-064B-9B63-A4533B34D465}">
            <xm:f>OR(Maaned!$D5="Rul 1")</xm:f>
            <x14:dxf>
              <font>
                <color theme="1"/>
              </font>
              <fill>
                <patternFill>
                  <bgColor theme="5" tint="0.79998168889431442"/>
                </patternFill>
              </fill>
            </x14:dxf>
          </x14:cfRule>
          <x14:cfRule type="expression" priority="175" id="{8A39A80F-7F43-1546-BBBA-0A18CF9F521C}">
            <xm:f>OR(Maaned!$D5="Feriedag")</xm:f>
            <x14:dxf>
              <font>
                <color theme="1"/>
              </font>
              <fill>
                <patternFill>
                  <bgColor theme="9" tint="0.39994506668294322"/>
                </patternFill>
              </fill>
            </x14:dxf>
          </x14:cfRule>
          <x14:cfRule type="expression" priority="176" id="{2F54F8C9-0DDF-2448-9700-7B43009BD2B6}">
            <xm:f>OR(Maaned!$D5="Ikke relevant")</xm:f>
            <x14:dxf>
              <font>
                <color theme="0"/>
              </font>
              <fill>
                <patternFill>
                  <bgColor theme="1"/>
                </patternFill>
              </fill>
            </x14:dxf>
          </x14:cfRule>
          <x14:cfRule type="expression" priority="177" id="{AD040684-0C61-B440-B289-D14CBBF0ED2B}">
            <xm:f>OR(Maaned!$D5="Weekend")</xm:f>
            <x14:dxf>
              <font>
                <color theme="1"/>
              </font>
              <fill>
                <patternFill>
                  <bgColor theme="0" tint="-0.14996795556505021"/>
                </patternFill>
              </fill>
            </x14:dxf>
          </x14:cfRule>
          <x14:cfRule type="expression" priority="178" id="{7B21494D-D606-FA42-A2ED-E9A0BB7D9F46}">
            <xm:f>OR(Maaned!$D5="Særlig uge 4")</xm:f>
            <x14:dxf>
              <font>
                <color theme="1"/>
              </font>
              <fill>
                <patternFill>
                  <bgColor rgb="FF7030A0"/>
                </patternFill>
              </fill>
            </x14:dxf>
          </x14:cfRule>
          <x14:cfRule type="expression" priority="230" id="{8F0CB9D7-9E7B-B140-8801-AD8A211B029C}">
            <xm:f>OR(Maaned!$D5="pæd.dag")</xm:f>
            <x14:dxf>
              <font>
                <color theme="1"/>
              </font>
              <fill>
                <patternFill>
                  <bgColor rgb="FFFFC000"/>
                </patternFill>
              </fill>
            </x14:dxf>
          </x14:cfRule>
          <x14:cfRule type="expression" priority="231" id="{4816F34E-1868-684C-B862-43349AD53D4A}">
            <xm:f>OR(Maaned!$D5="Nul-dag")</xm:f>
            <x14:dxf>
              <font>
                <color theme="1"/>
              </font>
              <fill>
                <patternFill>
                  <bgColor theme="9" tint="0.79998168889431442"/>
                </patternFill>
              </fill>
            </x14:dxf>
          </x14:cfRule>
          <x14:cfRule type="expression" priority="232" id="{6FBCB469-16AA-4C44-A36C-CF7B23A110CF}">
            <xm:f>OR(Maaned!$D5="SH-dag")</xm:f>
            <x14:dxf>
              <font>
                <color theme="1"/>
              </font>
              <fill>
                <patternFill>
                  <bgColor rgb="FFFF2F82"/>
                </patternFill>
              </fill>
            </x14:dxf>
          </x14:cfRule>
          <x14:cfRule type="expression" priority="233" id="{AEDEE17F-9092-AA46-8833-6F8F83D5A853}">
            <xm:f>OR(Maaned!$D5="ekskursion")</xm:f>
            <x14:dxf>
              <font>
                <color theme="1"/>
              </font>
              <fill>
                <patternFill>
                  <bgColor theme="7" tint="0.59996337778862885"/>
                </patternFill>
              </fill>
            </x14:dxf>
          </x14:cfRule>
          <x14:cfRule type="expression" priority="234" id="{6805C6D6-EBA2-4B41-A03B-504E6D2859DC}">
            <xm:f>OR(Maaned!$D5="Koloni")</xm:f>
            <x14:dxf>
              <font>
                <color theme="1"/>
              </font>
              <fill>
                <patternFill>
                  <bgColor theme="7" tint="0.79998168889431442"/>
                </patternFill>
              </fill>
            </x14:dxf>
          </x14:cfRule>
          <x14:cfRule type="expression" priority="235" id="{72770673-B4D1-D548-9724-5D928FC6D3C5}">
            <xm:f>OR(Maaned!$D5="Normal uge 1")</xm:f>
            <x14:dxf>
              <font>
                <color theme="1"/>
              </font>
              <fill>
                <patternFill patternType="none">
                  <bgColor auto="1"/>
                </patternFill>
              </fill>
            </x14:dxf>
          </x14:cfRule>
          <x14:cfRule type="expression" priority="236" id="{8929E4BA-E012-4244-8487-5F7B4DEDB7A2}">
            <xm:f>OR(Maaned!$D5="Normal uge 2")</xm:f>
            <x14:dxf>
              <font>
                <color theme="1"/>
              </font>
              <fill>
                <patternFill>
                  <bgColor theme="4" tint="0.79998168889431442"/>
                </patternFill>
              </fill>
            </x14:dxf>
          </x14:cfRule>
          <x14:cfRule type="expression" priority="237" id="{9D3BDC6E-0796-9849-8D6F-B59D41CFA460}">
            <xm:f>OR(Maaned!$D5="Særlig uge 1")</xm:f>
            <x14:dxf>
              <font>
                <color theme="1"/>
              </font>
              <fill>
                <patternFill>
                  <bgColor rgb="FFD883FF"/>
                </patternFill>
              </fill>
            </x14:dxf>
          </x14:cfRule>
          <x14:cfRule type="expression" priority="238" id="{68841CDE-0D3B-0D46-A3CE-7C84C24A7FFF}">
            <xm:f>OR(Maaned!$D5="Særlig uge 2")</xm:f>
            <x14:dxf>
              <font>
                <color theme="1"/>
              </font>
              <fill>
                <patternFill>
                  <bgColor rgb="FFE6DFFF"/>
                </patternFill>
              </fill>
            </x14:dxf>
          </x14:cfRule>
          <x14:cfRule type="expression" priority="239" stopIfTrue="1" id="{7C41FE27-2628-CA43-B26E-2534BFB43EAB}">
            <xm:f>OR(Maaned!$D5="Særlig uge 3")</xm:f>
            <x14:dxf>
              <font>
                <color theme="1"/>
              </font>
              <fill>
                <patternFill patternType="solid">
                  <bgColor rgb="FF7A81FF"/>
                </patternFill>
              </fill>
            </x14:dxf>
          </x14:cfRule>
          <xm:sqref>A3:E33</xm:sqref>
        </x14:conditionalFormatting>
        <x14:conditionalFormatting xmlns:xm="http://schemas.microsoft.com/office/excel/2006/main">
          <x14:cfRule type="expression" priority="13" id="{3C991283-3377-3042-8D30-53301291A603}">
            <xm:f>OR(Maaned!$R5="Rul 4")</xm:f>
            <x14:dxf>
              <font>
                <color theme="1"/>
              </font>
              <fill>
                <patternFill>
                  <bgColor theme="5" tint="-0.24994659260841701"/>
                </patternFill>
              </fill>
            </x14:dxf>
          </x14:cfRule>
          <x14:cfRule type="expression" priority="14" id="{589D59B6-548F-624F-9E7D-DD935A6C867F}">
            <xm:f>OR(Maaned!$R5="Rul 3")</xm:f>
            <x14:dxf>
              <font>
                <color theme="1"/>
              </font>
              <fill>
                <patternFill>
                  <bgColor theme="5" tint="0.39994506668294322"/>
                </patternFill>
              </fill>
            </x14:dxf>
          </x14:cfRule>
          <x14:cfRule type="expression" priority="15" id="{2D097A6B-A109-AF40-A4DF-6A3BDB863B12}">
            <xm:f>OR(Maaned!$R5="Rul 2")</xm:f>
            <x14:dxf>
              <font>
                <color theme="1"/>
              </font>
              <fill>
                <patternFill>
                  <bgColor theme="5" tint="0.59996337778862885"/>
                </patternFill>
              </fill>
            </x14:dxf>
          </x14:cfRule>
          <x14:cfRule type="expression" priority="16" id="{1967C804-15B0-5844-8F0D-D2BC82D1D4CA}">
            <xm:f>OR(Maaned!$R5="Rul 1")</xm:f>
            <x14:dxf>
              <font>
                <color theme="1"/>
              </font>
              <fill>
                <patternFill>
                  <bgColor theme="5" tint="0.79998168889431442"/>
                </patternFill>
              </fill>
            </x14:dxf>
          </x14:cfRule>
          <x14:cfRule type="expression" priority="121" id="{AA2B0DCD-28D0-784D-913A-7B29E606376F}">
            <xm:f>OR(Maaned!$R5="Feriedag")</xm:f>
            <x14:dxf>
              <font>
                <color theme="1"/>
              </font>
              <fill>
                <patternFill>
                  <bgColor theme="9" tint="0.39994506668294322"/>
                </patternFill>
              </fill>
            </x14:dxf>
          </x14:cfRule>
          <x14:cfRule type="expression" priority="122" id="{D14423E3-B4C4-2248-BE1C-917423069D99}">
            <xm:f>OR(Maaned!$R5="Ikke relevant")</xm:f>
            <x14:dxf>
              <font>
                <color theme="0"/>
              </font>
              <fill>
                <patternFill>
                  <bgColor theme="1"/>
                </patternFill>
              </fill>
            </x14:dxf>
          </x14:cfRule>
          <xm:sqref>K3:O33</xm:sqref>
        </x14:conditionalFormatting>
        <x14:conditionalFormatting xmlns:xm="http://schemas.microsoft.com/office/excel/2006/main">
          <x14:cfRule type="expression" priority="123" id="{9DA20BD2-C213-C14F-AF9D-0F94D941FFC5}">
            <xm:f>OR(Maaned!$R5="Weekend")</xm:f>
            <x14:dxf>
              <font>
                <color theme="1"/>
              </font>
              <fill>
                <patternFill>
                  <bgColor theme="0" tint="-0.14996795556505021"/>
                </patternFill>
              </fill>
            </x14:dxf>
          </x14:cfRule>
          <x14:cfRule type="expression" priority="124" id="{4A5DA921-63C6-E64B-89ED-2F13C9FFDC7A}">
            <xm:f>OR(Maaned!$R5="Særlig uge 4")</xm:f>
            <x14:dxf>
              <font>
                <color theme="1"/>
              </font>
              <fill>
                <patternFill>
                  <bgColor rgb="FF7030A0"/>
                </patternFill>
              </fill>
            </x14:dxf>
          </x14:cfRule>
          <x14:cfRule type="expression" priority="125" id="{A691BB9D-AFF0-BA4A-A149-BFB755279789}">
            <xm:f>OR(Maaned!$R5="pæd.dag")</xm:f>
            <x14:dxf>
              <font>
                <color theme="1"/>
              </font>
              <fill>
                <patternFill>
                  <bgColor rgb="FFFFC000"/>
                </patternFill>
              </fill>
            </x14:dxf>
          </x14:cfRule>
          <x14:cfRule type="expression" priority="126" id="{1546FB56-D601-3644-B6D9-C84C2289FABF}">
            <xm:f>OR(Maaned!$R5="Nul-dag")</xm:f>
            <x14:dxf>
              <font>
                <color theme="1"/>
              </font>
              <fill>
                <patternFill>
                  <bgColor theme="9" tint="0.79998168889431442"/>
                </patternFill>
              </fill>
            </x14:dxf>
          </x14:cfRule>
          <x14:cfRule type="expression" priority="127" id="{C9CFEDEA-4ECA-664E-B558-E27CC3A36AD9}">
            <xm:f>OR(Maaned!$R5="SH-dag")</xm:f>
            <x14:dxf>
              <font>
                <color theme="1"/>
              </font>
              <fill>
                <patternFill>
                  <bgColor rgb="FFFF2F82"/>
                </patternFill>
              </fill>
            </x14:dxf>
          </x14:cfRule>
          <x14:cfRule type="expression" priority="128" id="{3E47588D-299C-B44E-A2EC-DB239BDE3D5F}">
            <xm:f>OR(Maaned!$R5="ekskursion")</xm:f>
            <x14:dxf>
              <font>
                <color theme="1"/>
              </font>
              <fill>
                <patternFill>
                  <bgColor theme="7" tint="0.59996337778862885"/>
                </patternFill>
              </fill>
            </x14:dxf>
          </x14:cfRule>
          <x14:cfRule type="expression" priority="129" id="{EB30AF42-34F8-5647-8FA8-27AB18ACEEEB}">
            <xm:f>OR(Maaned!$R5="Koloni")</xm:f>
            <x14:dxf>
              <font>
                <color theme="1"/>
              </font>
              <fill>
                <patternFill>
                  <bgColor theme="7" tint="0.79998168889431442"/>
                </patternFill>
              </fill>
            </x14:dxf>
          </x14:cfRule>
          <x14:cfRule type="expression" priority="130" id="{1BFB2BEF-506F-0241-9F5F-6966739470A2}">
            <xm:f>OR(Maaned!$R5="Normal uge 1")</xm:f>
            <x14:dxf>
              <font>
                <color theme="1"/>
              </font>
              <fill>
                <patternFill patternType="none">
                  <bgColor auto="1"/>
                </patternFill>
              </fill>
            </x14:dxf>
          </x14:cfRule>
          <x14:cfRule type="expression" priority="131" id="{B5A7047B-5374-E945-B405-C2EFD5BE417B}">
            <xm:f>OR(Maaned!$R5="Normal uge 2")</xm:f>
            <x14:dxf>
              <font>
                <color theme="1"/>
              </font>
              <fill>
                <patternFill>
                  <bgColor theme="4" tint="0.79998168889431442"/>
                </patternFill>
              </fill>
            </x14:dxf>
          </x14:cfRule>
          <x14:cfRule type="expression" priority="132" id="{48FE0F5D-51F2-FF41-BA50-85598C3C3B56}">
            <xm:f>OR(Maaned!$R5="Særlig uge 1")</xm:f>
            <x14:dxf>
              <font>
                <color theme="1"/>
              </font>
              <fill>
                <patternFill>
                  <bgColor rgb="FFD883FF"/>
                </patternFill>
              </fill>
            </x14:dxf>
          </x14:cfRule>
          <x14:cfRule type="expression" priority="133" id="{14C33FD3-472C-A845-97F4-5E04042738A2}">
            <xm:f>OR(Maaned!$R5="Særlig uge 2")</xm:f>
            <x14:dxf>
              <font>
                <color theme="1"/>
              </font>
              <fill>
                <patternFill>
                  <bgColor rgb="FFE6DFFF"/>
                </patternFill>
              </fill>
            </x14:dxf>
          </x14:cfRule>
          <x14:cfRule type="expression" priority="134" stopIfTrue="1" id="{4A9BD626-2EB8-7C4E-B829-1EFF5FC7F98C}">
            <xm:f>OR(Maaned!$R5="Særlig uge 3")</xm:f>
            <x14:dxf>
              <font>
                <color theme="1"/>
              </font>
              <fill>
                <patternFill patternType="solid">
                  <bgColor rgb="FF7A81FF"/>
                </patternFill>
              </fill>
            </x14:dxf>
          </x14:cfRule>
          <xm:sqref>K3:O33</xm:sqref>
        </x14:conditionalFormatting>
        <x14:conditionalFormatting xmlns:xm="http://schemas.microsoft.com/office/excel/2006/main">
          <x14:cfRule type="expression" priority="9" id="{61D276C8-88F3-C54D-BDD6-572F0DFCE2E5}">
            <xm:f>OR(Maaned!$Y5="Rul 4")</xm:f>
            <x14:dxf>
              <font>
                <color theme="1"/>
              </font>
              <fill>
                <patternFill>
                  <bgColor theme="5" tint="-0.24994659260841701"/>
                </patternFill>
              </fill>
            </x14:dxf>
          </x14:cfRule>
          <x14:cfRule type="expression" priority="10" id="{D052B2AE-21F2-D747-A3FB-39060F1789F3}">
            <xm:f>OR(Maaned!$Y5="Rul 3")</xm:f>
            <x14:dxf>
              <font>
                <color theme="1"/>
              </font>
              <fill>
                <patternFill>
                  <bgColor theme="5" tint="0.39994506668294322"/>
                </patternFill>
              </fill>
            </x14:dxf>
          </x14:cfRule>
          <x14:cfRule type="expression" priority="11" id="{DE018F46-23BB-0D4B-869F-C8F2268784AD}">
            <xm:f>OR(Maaned!$Y5="Rul 2")</xm:f>
            <x14:dxf>
              <font>
                <color theme="1"/>
              </font>
              <fill>
                <patternFill>
                  <bgColor theme="5" tint="0.59996337778862885"/>
                </patternFill>
              </fill>
            </x14:dxf>
          </x14:cfRule>
          <x14:cfRule type="expression" priority="12" id="{837FFC92-1884-CC48-A4FF-95BCC45A5D16}">
            <xm:f>OR(Maaned!$Y5="Rul 1")</xm:f>
            <x14:dxf>
              <font>
                <color theme="1"/>
              </font>
              <fill>
                <patternFill>
                  <bgColor theme="5" tint="0.79998168889431442"/>
                </patternFill>
              </fill>
            </x14:dxf>
          </x14:cfRule>
          <x14:cfRule type="expression" priority="97" id="{5F67D3DD-3451-0341-93AF-4342FCC0CDB1}">
            <xm:f>OR(Maaned!$Y5="Feriedag")</xm:f>
            <x14:dxf>
              <font>
                <color theme="1"/>
              </font>
              <fill>
                <patternFill>
                  <bgColor theme="9" tint="0.39994506668294322"/>
                </patternFill>
              </fill>
            </x14:dxf>
          </x14:cfRule>
          <x14:cfRule type="expression" priority="98" id="{9208081B-260B-1F46-8E12-F72780805BB9}">
            <xm:f>OR(Maaned!$Y5="Ikke relevant")</xm:f>
            <x14:dxf>
              <font>
                <color theme="0"/>
              </font>
              <fill>
                <patternFill>
                  <bgColor theme="1"/>
                </patternFill>
              </fill>
            </x14:dxf>
          </x14:cfRule>
          <xm:sqref>P3:T33</xm:sqref>
        </x14:conditionalFormatting>
        <x14:conditionalFormatting xmlns:xm="http://schemas.microsoft.com/office/excel/2006/main">
          <x14:cfRule type="expression" priority="99" id="{88AE84BA-5C34-524C-AB88-D43AD17D39B9}">
            <xm:f>OR(Maaned!$Y5="Weekend")</xm:f>
            <x14:dxf>
              <font>
                <color theme="1"/>
              </font>
              <fill>
                <patternFill>
                  <bgColor theme="0" tint="-0.14996795556505021"/>
                </patternFill>
              </fill>
            </x14:dxf>
          </x14:cfRule>
          <x14:cfRule type="expression" priority="100" id="{CB0B9B5D-5545-234D-BA45-C8E2EBEC24BE}">
            <xm:f>OR(Maaned!$Y5="Særlig uge 4")</xm:f>
            <x14:dxf>
              <font>
                <color theme="1"/>
              </font>
              <fill>
                <patternFill>
                  <bgColor rgb="FF7030A0"/>
                </patternFill>
              </fill>
            </x14:dxf>
          </x14:cfRule>
          <x14:cfRule type="expression" priority="101" id="{8B92D777-B573-E74C-83FC-99C714E3B493}">
            <xm:f>OR(Maaned!$Y5="pæd.dag")</xm:f>
            <x14:dxf>
              <font>
                <color theme="1"/>
              </font>
              <fill>
                <patternFill>
                  <bgColor rgb="FFFFC000"/>
                </patternFill>
              </fill>
            </x14:dxf>
          </x14:cfRule>
          <x14:cfRule type="expression" priority="102" id="{DEE09CBC-FD27-5246-8B01-19D82E24682D}">
            <xm:f>OR(Maaned!$Y5="Nul-dag")</xm:f>
            <x14:dxf>
              <font>
                <color theme="1"/>
              </font>
              <fill>
                <patternFill>
                  <bgColor theme="9" tint="0.79998168889431442"/>
                </patternFill>
              </fill>
            </x14:dxf>
          </x14:cfRule>
          <x14:cfRule type="expression" priority="103" id="{19C589C7-52AE-014F-808E-263CE4D9E266}">
            <xm:f>OR(Maaned!$Y5="SH-dag")</xm:f>
            <x14:dxf>
              <font>
                <color theme="1"/>
              </font>
              <fill>
                <patternFill>
                  <bgColor rgb="FFFF2F82"/>
                </patternFill>
              </fill>
            </x14:dxf>
          </x14:cfRule>
          <x14:cfRule type="expression" priority="104" id="{02F2D753-8D6E-BA47-B641-DDC7B2DE1D85}">
            <xm:f>OR(Maaned!$Y5="ekskursion")</xm:f>
            <x14:dxf>
              <font>
                <color theme="1"/>
              </font>
              <fill>
                <patternFill>
                  <bgColor theme="7" tint="0.59996337778862885"/>
                </patternFill>
              </fill>
            </x14:dxf>
          </x14:cfRule>
          <x14:cfRule type="expression" priority="105" id="{E1D7F2E1-22DB-224B-AEC0-8ED4A1239C50}">
            <xm:f>OR(Maaned!$Y5="Koloni")</xm:f>
            <x14:dxf>
              <font>
                <color theme="1"/>
              </font>
              <fill>
                <patternFill>
                  <bgColor theme="7" tint="0.79998168889431442"/>
                </patternFill>
              </fill>
            </x14:dxf>
          </x14:cfRule>
          <x14:cfRule type="expression" priority="106" id="{8B0380D3-1EAC-CF40-B198-713C10FD303E}">
            <xm:f>OR(Maaned!$Y5="Normal uge 1")</xm:f>
            <x14:dxf>
              <font>
                <color theme="1"/>
              </font>
              <fill>
                <patternFill patternType="none">
                  <bgColor auto="1"/>
                </patternFill>
              </fill>
            </x14:dxf>
          </x14:cfRule>
          <x14:cfRule type="expression" priority="107" id="{42CC1281-6762-0C4D-A1EB-DF0603568176}">
            <xm:f>OR(Maaned!$Y5="Normal uge 2")</xm:f>
            <x14:dxf>
              <font>
                <color theme="1"/>
              </font>
              <fill>
                <patternFill>
                  <bgColor theme="4" tint="0.79998168889431442"/>
                </patternFill>
              </fill>
            </x14:dxf>
          </x14:cfRule>
          <x14:cfRule type="expression" priority="108" id="{65FFD36D-6719-2648-958B-3AF8EDC55BAA}">
            <xm:f>OR(Maaned!$Y5="Særlig uge 1")</xm:f>
            <x14:dxf>
              <font>
                <color theme="1"/>
              </font>
              <fill>
                <patternFill>
                  <bgColor rgb="FFD883FF"/>
                </patternFill>
              </fill>
            </x14:dxf>
          </x14:cfRule>
          <x14:cfRule type="expression" priority="109" id="{D17AC7F4-BC81-894B-ADB9-A493A88E1BB9}">
            <xm:f>OR(Maaned!$Y5="Særlig uge 2")</xm:f>
            <x14:dxf>
              <font>
                <color theme="1"/>
              </font>
              <fill>
                <patternFill>
                  <bgColor rgb="FFE6DFFF"/>
                </patternFill>
              </fill>
            </x14:dxf>
          </x14:cfRule>
          <x14:cfRule type="expression" priority="110" stopIfTrue="1" id="{A0EBC9C6-E83D-1140-89FF-7FB4C4761610}">
            <xm:f>OR(Maaned!$Y5="Særlig uge 3")</xm:f>
            <x14:dxf>
              <font>
                <color theme="1"/>
              </font>
              <fill>
                <patternFill patternType="solid">
                  <bgColor rgb="FF7A81FF"/>
                </patternFill>
              </fill>
            </x14:dxf>
          </x14:cfRule>
          <xm:sqref>P3:T33</xm:sqref>
        </x14:conditionalFormatting>
        <x14:conditionalFormatting xmlns:xm="http://schemas.microsoft.com/office/excel/2006/main">
          <x14:cfRule type="expression" priority="5" id="{1539BE8B-6C3D-1F41-A010-1690FBC8D2B9}">
            <xm:f>OR(Maaned!$AF5="Rul 4")</xm:f>
            <x14:dxf>
              <font>
                <color theme="1"/>
              </font>
              <fill>
                <patternFill>
                  <bgColor theme="5" tint="-0.24994659260841701"/>
                </patternFill>
              </fill>
            </x14:dxf>
          </x14:cfRule>
          <x14:cfRule type="expression" priority="6" id="{D579C335-10DB-454E-8E2A-1F4918FCD874}">
            <xm:f>OR(Maaned!$AF5="Rul 3")</xm:f>
            <x14:dxf>
              <font>
                <color theme="1"/>
              </font>
              <fill>
                <patternFill>
                  <bgColor theme="5" tint="0.39994506668294322"/>
                </patternFill>
              </fill>
            </x14:dxf>
          </x14:cfRule>
          <x14:cfRule type="expression" priority="7" id="{AEBD5C64-81A4-AA4D-AF10-BD576204C320}">
            <xm:f>OR(Maaned!$AF5="Rul 2")</xm:f>
            <x14:dxf>
              <font>
                <color theme="1"/>
              </font>
              <fill>
                <patternFill>
                  <bgColor theme="5" tint="0.59996337778862885"/>
                </patternFill>
              </fill>
            </x14:dxf>
          </x14:cfRule>
          <x14:cfRule type="expression" priority="8" id="{FBF378FC-6A9C-A940-A253-61DC460880E6}">
            <xm:f>OR(Maaned!$AF5="Rul 1")</xm:f>
            <x14:dxf>
              <font>
                <color theme="1"/>
              </font>
              <fill>
                <patternFill>
                  <bgColor theme="5" tint="0.79998168889431442"/>
                </patternFill>
              </fill>
            </x14:dxf>
          </x14:cfRule>
          <x14:cfRule type="expression" priority="73" id="{FB7F3E28-388D-DF4B-AC60-1E3A5349EC20}">
            <xm:f>OR(Maaned!$AF5="Feriedag")</xm:f>
            <x14:dxf>
              <font>
                <color theme="1"/>
              </font>
              <fill>
                <patternFill>
                  <bgColor theme="9" tint="0.39994506668294322"/>
                </patternFill>
              </fill>
            </x14:dxf>
          </x14:cfRule>
          <x14:cfRule type="expression" priority="74" id="{6C9FFE21-B56B-FB4B-AAC5-5F604BE64467}">
            <xm:f>OR(Maaned!$AF5="Ikke relevant")</xm:f>
            <x14:dxf>
              <font>
                <color theme="0"/>
              </font>
              <fill>
                <patternFill>
                  <bgColor theme="1"/>
                </patternFill>
              </fill>
            </x14:dxf>
          </x14:cfRule>
          <xm:sqref>U3:Y33</xm:sqref>
        </x14:conditionalFormatting>
        <x14:conditionalFormatting xmlns:xm="http://schemas.microsoft.com/office/excel/2006/main">
          <x14:cfRule type="expression" priority="75" id="{60A7160F-3D30-174B-9EC2-705DC7055F1D}">
            <xm:f>OR(Maaned!$AF5="Weekend")</xm:f>
            <x14:dxf>
              <font>
                <color theme="1"/>
              </font>
              <fill>
                <patternFill>
                  <bgColor theme="0" tint="-0.14996795556505021"/>
                </patternFill>
              </fill>
            </x14:dxf>
          </x14:cfRule>
          <x14:cfRule type="expression" priority="76" id="{0CD291D6-F873-0B48-8191-7E64A87586B9}">
            <xm:f>OR(Maaned!$AF5="Særlig uge 4")</xm:f>
            <x14:dxf>
              <font>
                <color theme="1"/>
              </font>
              <fill>
                <patternFill>
                  <bgColor rgb="FF7030A0"/>
                </patternFill>
              </fill>
            </x14:dxf>
          </x14:cfRule>
          <x14:cfRule type="expression" priority="77" id="{74076B46-3ED2-D54B-AE7A-5F84FFCF317D}">
            <xm:f>OR(Maaned!$AF5="pæd.dag")</xm:f>
            <x14:dxf>
              <font>
                <color theme="1"/>
              </font>
              <fill>
                <patternFill>
                  <bgColor rgb="FFFFC000"/>
                </patternFill>
              </fill>
            </x14:dxf>
          </x14:cfRule>
          <x14:cfRule type="expression" priority="78" id="{1C51B033-0C32-F74A-8A0C-E75EE5FDB324}">
            <xm:f>OR(Maaned!$AF5="Nul-dag")</xm:f>
            <x14:dxf>
              <font>
                <color theme="1"/>
              </font>
              <fill>
                <patternFill>
                  <bgColor theme="9" tint="0.79998168889431442"/>
                </patternFill>
              </fill>
            </x14:dxf>
          </x14:cfRule>
          <x14:cfRule type="expression" priority="79" id="{BFC90256-F339-9E48-BA5E-F7D0D2ED0103}">
            <xm:f>OR(Maaned!$AF5="SH-dag")</xm:f>
            <x14:dxf>
              <font>
                <color theme="1"/>
              </font>
              <fill>
                <patternFill>
                  <bgColor rgb="FFFF2F82"/>
                </patternFill>
              </fill>
            </x14:dxf>
          </x14:cfRule>
          <x14:cfRule type="expression" priority="80" id="{801D00C2-57DD-F047-A4E7-2BEA6123CE80}">
            <xm:f>OR(Maaned!$AF5="ekskursion")</xm:f>
            <x14:dxf>
              <font>
                <color theme="1"/>
              </font>
              <fill>
                <patternFill>
                  <bgColor theme="7" tint="0.59996337778862885"/>
                </patternFill>
              </fill>
            </x14:dxf>
          </x14:cfRule>
          <x14:cfRule type="expression" priority="81" id="{C60B01E5-C367-244D-B070-0E0DE70D287B}">
            <xm:f>OR(Maaned!$AF5="Koloni")</xm:f>
            <x14:dxf>
              <font>
                <color theme="1"/>
              </font>
              <fill>
                <patternFill>
                  <bgColor theme="7" tint="0.79998168889431442"/>
                </patternFill>
              </fill>
            </x14:dxf>
          </x14:cfRule>
          <x14:cfRule type="expression" priority="82" id="{8D739DBC-6EB1-D243-A572-02B498F93643}">
            <xm:f>OR(Maaned!$AF5="Normal uge 1")</xm:f>
            <x14:dxf>
              <font>
                <color theme="1"/>
              </font>
              <fill>
                <patternFill patternType="none">
                  <bgColor auto="1"/>
                </patternFill>
              </fill>
            </x14:dxf>
          </x14:cfRule>
          <x14:cfRule type="expression" priority="83" id="{939076A4-EC02-BF46-B76A-D1D986F8F1A8}">
            <xm:f>OR(Maaned!$AF5="Normal uge 2")</xm:f>
            <x14:dxf>
              <font>
                <color theme="1"/>
              </font>
              <fill>
                <patternFill>
                  <bgColor theme="4" tint="0.79998168889431442"/>
                </patternFill>
              </fill>
            </x14:dxf>
          </x14:cfRule>
          <x14:cfRule type="expression" priority="84" id="{B575A56D-6DFE-DC43-B4C8-2A3F45AD1E53}">
            <xm:f>OR(Maaned!$AF5="Særlig uge 1")</xm:f>
            <x14:dxf>
              <font>
                <color theme="1"/>
              </font>
              <fill>
                <patternFill>
                  <bgColor rgb="FFD883FF"/>
                </patternFill>
              </fill>
            </x14:dxf>
          </x14:cfRule>
          <x14:cfRule type="expression" priority="85" id="{C44D901D-AAE9-0140-A53A-0AADACC54931}">
            <xm:f>OR(Maaned!$AF5="Særlig uge 2")</xm:f>
            <x14:dxf>
              <font>
                <color theme="1"/>
              </font>
              <fill>
                <patternFill>
                  <bgColor rgb="FFE6DFFF"/>
                </patternFill>
              </fill>
            </x14:dxf>
          </x14:cfRule>
          <x14:cfRule type="expression" priority="86" stopIfTrue="1" id="{C66A7472-6611-AD48-9A7F-4AF4A97BEB61}">
            <xm:f>OR(Maaned!$AF5="Særlig uge 3")</xm:f>
            <x14:dxf>
              <font>
                <color theme="1"/>
              </font>
              <fill>
                <patternFill patternType="solid">
                  <bgColor rgb="FF7A81FF"/>
                </patternFill>
              </fill>
            </x14:dxf>
          </x14:cfRule>
          <xm:sqref>U3:Y33</xm:sqref>
        </x14:conditionalFormatting>
        <x14:conditionalFormatting xmlns:xm="http://schemas.microsoft.com/office/excel/2006/main">
          <x14:cfRule type="expression" priority="1" id="{88D5FF99-C63A-E14F-B5F3-5973F36B467E}">
            <xm:f>OR(Maaned!$AM5="Rul 4")</xm:f>
            <x14:dxf>
              <font>
                <color theme="1"/>
              </font>
              <fill>
                <patternFill>
                  <bgColor theme="5" tint="-0.24994659260841701"/>
                </patternFill>
              </fill>
            </x14:dxf>
          </x14:cfRule>
          <x14:cfRule type="expression" priority="2" id="{0E3F8EC8-1118-9F4A-A346-D7AA63C3631A}">
            <xm:f>OR(Maaned!$AM5="Rul 3")</xm:f>
            <x14:dxf>
              <font>
                <color theme="1"/>
              </font>
              <fill>
                <patternFill>
                  <bgColor theme="5" tint="0.39994506668294322"/>
                </patternFill>
              </fill>
            </x14:dxf>
          </x14:cfRule>
          <x14:cfRule type="expression" priority="3" id="{04791324-F78D-724A-940A-B6356E3DD8D1}">
            <xm:f>OR(Maaned!$AM5="Rul 2")</xm:f>
            <x14:dxf>
              <font>
                <color theme="1"/>
              </font>
              <fill>
                <patternFill>
                  <bgColor theme="5" tint="0.59996337778862885"/>
                </patternFill>
              </fill>
            </x14:dxf>
          </x14:cfRule>
          <x14:cfRule type="expression" priority="4" id="{FD97D0E1-AD5C-5946-A34C-62AE3C13582F}">
            <xm:f>OR(Maaned!$AM5="Rul 1")</xm:f>
            <x14:dxf>
              <font>
                <color theme="1"/>
              </font>
              <fill>
                <patternFill>
                  <bgColor theme="5" tint="0.79998168889431442"/>
                </patternFill>
              </fill>
            </x14:dxf>
          </x14:cfRule>
          <x14:cfRule type="expression" priority="39" id="{631CE838-C879-584D-83BD-0AA036063684}">
            <xm:f>OR(Maaned!$AM5="Feriedag")</xm:f>
            <x14:dxf>
              <font>
                <color theme="1"/>
              </font>
              <fill>
                <patternFill>
                  <bgColor theme="9" tint="0.39994506668294322"/>
                </patternFill>
              </fill>
            </x14:dxf>
          </x14:cfRule>
          <x14:cfRule type="expression" priority="40" id="{9F4C34DC-F5DD-4B49-8153-72089D20F3CB}">
            <xm:f>OR(Maaned!$AM5="Ikke relevant")</xm:f>
            <x14:dxf>
              <font>
                <color theme="0"/>
              </font>
              <fill>
                <patternFill>
                  <bgColor theme="1"/>
                </patternFill>
              </fill>
            </x14:dxf>
          </x14:cfRule>
          <xm:sqref>Z3:AD33</xm:sqref>
        </x14:conditionalFormatting>
        <x14:conditionalFormatting xmlns:xm="http://schemas.microsoft.com/office/excel/2006/main">
          <x14:cfRule type="expression" priority="41" id="{0AF18551-6AF6-0845-A30B-EB0021420120}">
            <xm:f>OR(Maaned!$AM5="Weekend")</xm:f>
            <x14:dxf>
              <font>
                <color theme="1"/>
              </font>
              <fill>
                <patternFill>
                  <bgColor theme="0" tint="-0.14996795556505021"/>
                </patternFill>
              </fill>
            </x14:dxf>
          </x14:cfRule>
          <x14:cfRule type="expression" priority="42" id="{5EBB9F87-6E6C-A149-9B20-BDFDA01843FD}">
            <xm:f>OR(Maaned!$AM5="Særlig uge 4")</xm:f>
            <x14:dxf>
              <font>
                <color theme="1"/>
              </font>
              <fill>
                <patternFill>
                  <bgColor rgb="FF7030A0"/>
                </patternFill>
              </fill>
            </x14:dxf>
          </x14:cfRule>
          <x14:cfRule type="expression" priority="43" id="{6B1ED311-06C1-764B-AB35-DDC658131925}">
            <xm:f>OR(Maaned!$AM5="pæd.dag")</xm:f>
            <x14:dxf>
              <font>
                <color theme="1"/>
              </font>
              <fill>
                <patternFill>
                  <bgColor rgb="FFFFC000"/>
                </patternFill>
              </fill>
            </x14:dxf>
          </x14:cfRule>
          <x14:cfRule type="expression" priority="44" id="{F5C959C9-2141-114C-987F-12EFBF65D067}">
            <xm:f>OR(Maaned!$AM5="Nul-dag")</xm:f>
            <x14:dxf>
              <font>
                <color theme="1"/>
              </font>
              <fill>
                <patternFill>
                  <bgColor theme="9" tint="0.79998168889431442"/>
                </patternFill>
              </fill>
            </x14:dxf>
          </x14:cfRule>
          <x14:cfRule type="expression" priority="45" id="{C42412B8-94F8-C141-9B24-2F6A60E62837}">
            <xm:f>OR(Maaned!$AM5="SH-dag")</xm:f>
            <x14:dxf>
              <font>
                <color theme="1"/>
              </font>
              <fill>
                <patternFill>
                  <bgColor rgb="FFFF2F82"/>
                </patternFill>
              </fill>
            </x14:dxf>
          </x14:cfRule>
          <x14:cfRule type="expression" priority="46" id="{90F85AF8-44C8-3C44-8990-8841F1C5196A}">
            <xm:f>OR(Maaned!$AM5="ekskursion")</xm:f>
            <x14:dxf>
              <font>
                <color theme="1"/>
              </font>
              <fill>
                <patternFill>
                  <bgColor theme="7" tint="0.59996337778862885"/>
                </patternFill>
              </fill>
            </x14:dxf>
          </x14:cfRule>
          <x14:cfRule type="expression" priority="47" id="{B9B029AD-1946-2E45-A922-0883A5A73532}">
            <xm:f>OR(Maaned!$AM5="Koloni")</xm:f>
            <x14:dxf>
              <font>
                <color theme="1"/>
              </font>
              <fill>
                <patternFill>
                  <bgColor theme="7" tint="0.79998168889431442"/>
                </patternFill>
              </fill>
            </x14:dxf>
          </x14:cfRule>
          <x14:cfRule type="expression" priority="48" id="{05050F56-ED79-9A45-8DCF-E3C221EA215B}">
            <xm:f>OR(Maaned!$AM5="Normal uge 1")</xm:f>
            <x14:dxf>
              <font>
                <color theme="1"/>
              </font>
              <fill>
                <patternFill patternType="none">
                  <bgColor auto="1"/>
                </patternFill>
              </fill>
            </x14:dxf>
          </x14:cfRule>
          <x14:cfRule type="expression" priority="49" id="{ACD0DB0D-FCCE-C74F-91C5-484D72CE7E4E}">
            <xm:f>OR(Maaned!$AM5="Normal uge 2")</xm:f>
            <x14:dxf>
              <font>
                <color theme="1"/>
              </font>
              <fill>
                <patternFill>
                  <bgColor theme="4" tint="0.79998168889431442"/>
                </patternFill>
              </fill>
            </x14:dxf>
          </x14:cfRule>
          <x14:cfRule type="expression" priority="50" id="{B1003660-850D-844B-9185-00A99781712D}">
            <xm:f>OR(Maaned!$AM5="Særlig uge 1")</xm:f>
            <x14:dxf>
              <font>
                <color theme="1"/>
              </font>
              <fill>
                <patternFill>
                  <bgColor rgb="FFD883FF"/>
                </patternFill>
              </fill>
            </x14:dxf>
          </x14:cfRule>
          <x14:cfRule type="expression" priority="51" id="{809266B3-E4E2-124D-A25F-C4301D46EDE4}">
            <xm:f>OR(Maaned!$AM5="Særlig uge 2")</xm:f>
            <x14:dxf>
              <font>
                <color theme="1"/>
              </font>
              <fill>
                <patternFill>
                  <bgColor rgb="FFE6DFFF"/>
                </patternFill>
              </fill>
            </x14:dxf>
          </x14:cfRule>
          <x14:cfRule type="expression" priority="52" stopIfTrue="1" id="{73080ED1-FF08-A549-A816-8C43F1ED2F22}">
            <xm:f>OR(Maaned!$AM5="Særlig uge 3")</xm:f>
            <x14:dxf>
              <font>
                <color theme="1"/>
              </font>
              <fill>
                <patternFill patternType="solid">
                  <bgColor rgb="FF7A81FF"/>
                </patternFill>
              </fill>
            </x14:dxf>
          </x14:cfRule>
          <xm:sqref>Z3:AD33</xm:sqref>
        </x14:conditionalFormatting>
        <x14:conditionalFormatting xmlns:xm="http://schemas.microsoft.com/office/excel/2006/main">
          <x14:cfRule type="expression" priority="17" id="{8EBB4949-93A2-A143-B20B-E6DDB011BECF}">
            <xm:f>OR(Maaned!$K5="Rul 4")</xm:f>
            <x14:dxf>
              <font>
                <color theme="1"/>
              </font>
              <fill>
                <patternFill>
                  <bgColor theme="5" tint="-0.24994659260841701"/>
                </patternFill>
              </fill>
            </x14:dxf>
          </x14:cfRule>
          <x14:cfRule type="expression" priority="18" id="{CC5B0A3B-EA9B-0448-86C2-9B97E75BC046}">
            <xm:f>OR(Maaned!$K5="Rul 3")</xm:f>
            <x14:dxf>
              <font>
                <color theme="1"/>
              </font>
              <fill>
                <patternFill>
                  <bgColor theme="5" tint="0.39994506668294322"/>
                </patternFill>
              </fill>
            </x14:dxf>
          </x14:cfRule>
          <x14:cfRule type="expression" priority="19" id="{4C0B6AC5-BEA9-4D47-9A9A-77C340DCD853}">
            <xm:f>OR(Maaned!$K5="Rul 2")</xm:f>
            <x14:dxf>
              <font>
                <color theme="1"/>
              </font>
              <fill>
                <patternFill>
                  <bgColor theme="5" tint="0.59996337778862885"/>
                </patternFill>
              </fill>
            </x14:dxf>
          </x14:cfRule>
          <x14:cfRule type="expression" priority="20" id="{1B7D5BED-2865-B34E-8C33-17C3BEBBBB3D}">
            <xm:f>OR(Maaned!$K5="Rul 1")</xm:f>
            <x14:dxf>
              <font>
                <color theme="1"/>
              </font>
              <fill>
                <patternFill>
                  <bgColor theme="5" tint="0.79998168889431442"/>
                </patternFill>
              </fill>
            </x14:dxf>
          </x14:cfRule>
          <x14:cfRule type="expression" priority="25" id="{187AA613-3281-D346-853A-CF8C874FE161}">
            <xm:f>OR(Maaned!$K5="Feriedag")</xm:f>
            <x14:dxf>
              <font>
                <color theme="1"/>
              </font>
              <fill>
                <patternFill>
                  <bgColor theme="9" tint="0.39994506668294322"/>
                </patternFill>
              </fill>
            </x14:dxf>
          </x14:cfRule>
          <x14:cfRule type="expression" priority="26" id="{91FE771E-4118-BE45-A7A6-C50E9F5ED3F5}">
            <xm:f>OR(Maaned!$K5="Ikke relevant")</xm:f>
            <x14:dxf>
              <font>
                <color theme="0"/>
              </font>
              <fill>
                <patternFill>
                  <bgColor theme="1"/>
                </patternFill>
              </fill>
            </x14:dxf>
          </x14:cfRule>
          <xm:sqref>F3:J33</xm:sqref>
        </x14:conditionalFormatting>
        <x14:conditionalFormatting xmlns:xm="http://schemas.microsoft.com/office/excel/2006/main">
          <x14:cfRule type="expression" priority="27" id="{A6F226C4-9AFD-C24A-BE60-5E0DBA68257B}">
            <xm:f>OR(Maaned!$K5="Weekend")</xm:f>
            <x14:dxf>
              <font>
                <color theme="1"/>
              </font>
              <fill>
                <patternFill>
                  <bgColor theme="0" tint="-0.14996795556505021"/>
                </patternFill>
              </fill>
            </x14:dxf>
          </x14:cfRule>
          <x14:cfRule type="expression" priority="28" id="{8283DAD5-D1F7-C04D-B046-37EA671F2587}">
            <xm:f>OR(Maaned!$K5="Særlig uge 4")</xm:f>
            <x14:dxf>
              <font>
                <color theme="1"/>
              </font>
              <fill>
                <patternFill>
                  <bgColor rgb="FF7030A0"/>
                </patternFill>
              </fill>
            </x14:dxf>
          </x14:cfRule>
          <x14:cfRule type="expression" priority="29" id="{89DD527A-D415-A74F-BBEE-2FF7A3B5B5DC}">
            <xm:f>OR(Maaned!$K5="pæd.dag")</xm:f>
            <x14:dxf>
              <font>
                <color theme="1"/>
              </font>
              <fill>
                <patternFill>
                  <bgColor rgb="FFFFC000"/>
                </patternFill>
              </fill>
            </x14:dxf>
          </x14:cfRule>
          <x14:cfRule type="expression" priority="30" id="{35B5ED0A-182B-5E47-B593-4391F0237938}">
            <xm:f>OR(Maaned!$K5="Nul-dag")</xm:f>
            <x14:dxf>
              <font>
                <color theme="1"/>
              </font>
              <fill>
                <patternFill>
                  <bgColor theme="9" tint="0.79998168889431442"/>
                </patternFill>
              </fill>
            </x14:dxf>
          </x14:cfRule>
          <x14:cfRule type="expression" priority="31" id="{303D7BAE-18F5-8749-989A-CE00A084CA20}">
            <xm:f>OR(Maaned!$K5="SH-dag")</xm:f>
            <x14:dxf>
              <font>
                <color theme="1"/>
              </font>
              <fill>
                <patternFill>
                  <bgColor rgb="FFFF2F82"/>
                </patternFill>
              </fill>
            </x14:dxf>
          </x14:cfRule>
          <x14:cfRule type="expression" priority="32" id="{76545ECE-36B1-E04A-A990-F1EA46624DC9}">
            <xm:f>OR(Maaned!$K5="ekskursion")</xm:f>
            <x14:dxf>
              <font>
                <color theme="1"/>
              </font>
              <fill>
                <patternFill>
                  <bgColor theme="7" tint="0.59996337778862885"/>
                </patternFill>
              </fill>
            </x14:dxf>
          </x14:cfRule>
          <x14:cfRule type="expression" priority="33" id="{AA221AAB-9169-4142-B5C2-394567418310}">
            <xm:f>OR(Maaned!$K5="Koloni")</xm:f>
            <x14:dxf>
              <font>
                <color theme="1"/>
              </font>
              <fill>
                <patternFill>
                  <bgColor theme="7" tint="0.79998168889431442"/>
                </patternFill>
              </fill>
            </x14:dxf>
          </x14:cfRule>
          <x14:cfRule type="expression" priority="34" id="{4C876699-7481-884B-9F4E-0982339913AB}">
            <xm:f>OR(Maaned!$K5="Normal uge 1")</xm:f>
            <x14:dxf>
              <font>
                <color theme="1"/>
              </font>
              <fill>
                <patternFill patternType="none">
                  <bgColor auto="1"/>
                </patternFill>
              </fill>
            </x14:dxf>
          </x14:cfRule>
          <x14:cfRule type="expression" priority="35" id="{572B02F4-8815-C449-B1C7-3DCFA9A2A751}">
            <xm:f>OR(Maaned!$K5="Normal uge 2")</xm:f>
            <x14:dxf>
              <font>
                <color theme="1"/>
              </font>
              <fill>
                <patternFill>
                  <bgColor theme="4" tint="0.79998168889431442"/>
                </patternFill>
              </fill>
            </x14:dxf>
          </x14:cfRule>
          <x14:cfRule type="expression" priority="36" id="{08CA292B-0B02-4340-944B-93C8AD1B7749}">
            <xm:f>OR(Maaned!$K5="Særlig uge 1")</xm:f>
            <x14:dxf>
              <font>
                <color theme="1"/>
              </font>
              <fill>
                <patternFill>
                  <bgColor rgb="FFD883FF"/>
                </patternFill>
              </fill>
            </x14:dxf>
          </x14:cfRule>
          <x14:cfRule type="expression" priority="37" id="{AB05F1B1-1755-084F-BAE5-361496CF852B}">
            <xm:f>OR(Maaned!$K5="Særlig uge 2")</xm:f>
            <x14:dxf>
              <font>
                <color theme="1"/>
              </font>
              <fill>
                <patternFill>
                  <bgColor rgb="FFE6DFFF"/>
                </patternFill>
              </fill>
            </x14:dxf>
          </x14:cfRule>
          <x14:cfRule type="expression" priority="38" stopIfTrue="1" id="{96620F3E-C314-D34C-83F0-84EB6F5C6B48}">
            <xm:f>OR(Maaned!$K5="Særlig uge 3")</xm:f>
            <x14:dxf>
              <font>
                <color theme="1"/>
              </font>
              <fill>
                <patternFill patternType="solid">
                  <bgColor rgb="FF7A81FF"/>
                </patternFill>
              </fill>
            </x14:dxf>
          </x14:cfRule>
          <xm:sqref>F3:J33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46"/>
  <sheetViews>
    <sheetView showGridLines="0" zoomScale="80" zoomScaleNormal="80" zoomScalePageLayoutView="80" workbookViewId="0">
      <selection activeCell="N31" sqref="N31"/>
    </sheetView>
  </sheetViews>
  <sheetFormatPr baseColWidth="10" defaultColWidth="10.7109375" defaultRowHeight="36" customHeight="1"/>
  <cols>
    <col min="1" max="2" width="3.7109375" style="238" customWidth="1"/>
    <col min="3" max="3" width="8.85546875" style="239" customWidth="1"/>
    <col min="4" max="4" width="17.28515625" style="239" customWidth="1"/>
    <col min="5" max="5" width="2.7109375" style="240" customWidth="1"/>
    <col min="6" max="7" width="3.7109375" style="238" customWidth="1"/>
    <col min="8" max="8" width="9" style="239" customWidth="1"/>
    <col min="9" max="9" width="17.42578125" style="239" customWidth="1"/>
    <col min="10" max="10" width="3.42578125" style="240" customWidth="1"/>
    <col min="11" max="12" width="3.7109375" style="238" customWidth="1"/>
    <col min="13" max="13" width="8.85546875" style="239" customWidth="1"/>
    <col min="14" max="14" width="17.28515625" style="239" customWidth="1"/>
    <col min="15" max="15" width="3.42578125" style="240" customWidth="1"/>
    <col min="16" max="17" width="3.7109375" style="238" customWidth="1"/>
    <col min="18" max="18" width="8.85546875" style="239" customWidth="1"/>
    <col min="19" max="19" width="17.28515625" style="239" customWidth="1"/>
    <col min="20" max="20" width="3.42578125" style="240" customWidth="1"/>
    <col min="21" max="21" width="4.5703125" style="238" customWidth="1"/>
    <col min="22" max="22" width="3.7109375" style="238" customWidth="1"/>
    <col min="23" max="23" width="8.85546875" style="239" customWidth="1"/>
    <col min="24" max="24" width="17.28515625" style="239" customWidth="1"/>
    <col min="25" max="25" width="3.42578125" style="240" customWidth="1"/>
    <col min="26" max="27" width="3.7109375" style="238" customWidth="1"/>
    <col min="28" max="28" width="8.85546875" style="239" customWidth="1"/>
    <col min="29" max="29" width="17.28515625" style="239" customWidth="1"/>
    <col min="30" max="30" width="3.42578125" style="240" customWidth="1"/>
    <col min="31" max="16384" width="10.7109375" style="229"/>
  </cols>
  <sheetData>
    <row r="1" spans="1:30" ht="36" customHeight="1" thickBot="1">
      <c r="A1" s="183" t="str">
        <f>"ÅRSKALENDER  for  "&amp;UPPER(Maaned!A1)&amp;"  "&amp;Maaned!A3&amp;" - "&amp;TEXT(Maaned!A3-1999,"00")</f>
        <v>ÅRSKALENDER  for    2022 - 23</v>
      </c>
      <c r="B1" s="209"/>
      <c r="C1" s="210"/>
      <c r="D1" s="210"/>
      <c r="E1" s="211"/>
      <c r="F1" s="212"/>
      <c r="G1" s="209"/>
      <c r="H1" s="210"/>
      <c r="I1" s="210"/>
      <c r="J1" s="211"/>
      <c r="K1" s="212"/>
      <c r="L1" s="209"/>
      <c r="M1" s="210"/>
      <c r="N1" s="210"/>
      <c r="O1" s="211"/>
      <c r="P1" s="212"/>
      <c r="Q1" s="209"/>
      <c r="R1" s="210"/>
      <c r="S1" s="210"/>
      <c r="T1" s="211"/>
      <c r="U1" s="212"/>
      <c r="V1" s="209"/>
      <c r="W1" s="210"/>
      <c r="X1" s="210"/>
      <c r="Y1" s="211"/>
      <c r="Z1" s="212"/>
      <c r="AA1" s="209"/>
      <c r="AB1" s="210"/>
      <c r="AC1" s="210"/>
      <c r="AD1" s="213"/>
    </row>
    <row r="2" spans="1:30" s="221" customFormat="1" ht="23" customHeight="1">
      <c r="A2" s="219" t="s">
        <v>50</v>
      </c>
      <c r="B2" s="216"/>
      <c r="C2" s="217"/>
      <c r="D2" s="217"/>
      <c r="E2" s="218"/>
      <c r="F2" s="215" t="s">
        <v>51</v>
      </c>
      <c r="G2" s="216"/>
      <c r="H2" s="217"/>
      <c r="I2" s="217"/>
      <c r="J2" s="218"/>
      <c r="K2" s="215" t="s">
        <v>52</v>
      </c>
      <c r="L2" s="216"/>
      <c r="M2" s="217"/>
      <c r="N2" s="217"/>
      <c r="O2" s="218"/>
      <c r="P2" s="215" t="s">
        <v>53</v>
      </c>
      <c r="Q2" s="216"/>
      <c r="R2" s="217"/>
      <c r="S2" s="217"/>
      <c r="T2" s="218"/>
      <c r="U2" s="215" t="s">
        <v>54</v>
      </c>
      <c r="V2" s="216"/>
      <c r="W2" s="217"/>
      <c r="X2" s="217"/>
      <c r="Y2" s="218"/>
      <c r="Z2" s="215" t="s">
        <v>55</v>
      </c>
      <c r="AA2" s="216"/>
      <c r="AB2" s="217"/>
      <c r="AC2" s="217"/>
      <c r="AD2" s="241"/>
    </row>
    <row r="3" spans="1:30" ht="23" customHeight="1">
      <c r="A3" s="222">
        <f>Maaned!AR5</f>
        <v>1</v>
      </c>
      <c r="B3" s="223" t="str">
        <f>Maaned!AS5</f>
        <v>on</v>
      </c>
      <c r="C3" s="224" t="str">
        <f>Maaned!AT5</f>
        <v>Normal uge 1</v>
      </c>
      <c r="D3" s="242" t="str">
        <f>IF(Maaned!AV5&lt;&gt;"",Maaned!AV5,"")</f>
        <v/>
      </c>
      <c r="E3" s="226" t="str">
        <f>Maaned!AU5</f>
        <v/>
      </c>
      <c r="F3" s="222">
        <f>Maaned!AY5</f>
        <v>1</v>
      </c>
      <c r="G3" s="223" t="str">
        <f>Maaned!AZ5</f>
        <v>on</v>
      </c>
      <c r="H3" s="224" t="str">
        <f>Maaned!BA5</f>
        <v>Normal uge 1</v>
      </c>
      <c r="I3" s="242" t="str">
        <f>IF(Maaned!BC5&lt;&gt;"",Maaned!BC5,"")</f>
        <v/>
      </c>
      <c r="J3" s="226" t="str">
        <f>Maaned!BB5</f>
        <v/>
      </c>
      <c r="K3" s="261">
        <f>Maaned!BF5</f>
        <v>1</v>
      </c>
      <c r="L3" s="262" t="str">
        <f>Maaned!BG5</f>
        <v>lø</v>
      </c>
      <c r="M3" s="263" t="str">
        <f>Maaned!BH5</f>
        <v>Weekend</v>
      </c>
      <c r="N3" s="416" t="str">
        <f>IF(Maaned!BJ5&lt;&gt;"",Maaned!BJ5,"")</f>
        <v/>
      </c>
      <c r="O3" s="228" t="str">
        <f>Maaned!BI5</f>
        <v/>
      </c>
      <c r="P3" s="261">
        <f>Maaned!BM5</f>
        <v>1</v>
      </c>
      <c r="Q3" s="262" t="str">
        <f>Maaned!BN5</f>
        <v>ma</v>
      </c>
      <c r="R3" s="263" t="str">
        <f>Maaned!BO5</f>
        <v>Normal uge 1</v>
      </c>
      <c r="S3" s="416" t="str">
        <f>IF(Maaned!BQ5&lt;&gt;"",Maaned!BQ5,"")</f>
        <v/>
      </c>
      <c r="T3" s="228">
        <f>Maaned!BP5</f>
        <v>18.142857142857142</v>
      </c>
      <c r="U3" s="222">
        <f>Maaned!BT5</f>
        <v>1</v>
      </c>
      <c r="V3" s="223" t="str">
        <f>Maaned!BU5</f>
        <v>to</v>
      </c>
      <c r="W3" s="224" t="str">
        <f>Maaned!BV5</f>
        <v>Normal uge 1</v>
      </c>
      <c r="X3" s="242" t="str">
        <f>IF(Maaned!BX5&lt;&gt;"",Maaned!BX5,"")</f>
        <v/>
      </c>
      <c r="Y3" s="226" t="str">
        <f>Maaned!BW5</f>
        <v/>
      </c>
      <c r="Z3" s="222">
        <f>Maaned!CA5</f>
        <v>1</v>
      </c>
      <c r="AA3" s="223" t="str">
        <f>Maaned!CB5</f>
        <v>lø</v>
      </c>
      <c r="AB3" s="224" t="str">
        <f>Maaned!CC5</f>
        <v>Weekend</v>
      </c>
      <c r="AC3" s="242" t="str">
        <f>IF(Maaned!CE5&lt;&gt;"",Maaned!CE5,"")</f>
        <v/>
      </c>
      <c r="AD3" s="228" t="str">
        <f>Maaned!CD5</f>
        <v/>
      </c>
    </row>
    <row r="4" spans="1:30" ht="23" customHeight="1">
      <c r="A4" s="222">
        <f>Maaned!AR6</f>
        <v>2</v>
      </c>
      <c r="B4" s="223" t="str">
        <f>Maaned!AS6</f>
        <v>to</v>
      </c>
      <c r="C4" s="224" t="str">
        <f>Maaned!AT6</f>
        <v>Normal uge 1</v>
      </c>
      <c r="D4" s="242" t="str">
        <f>IF(Maaned!AV6&lt;&gt;"",Maaned!AV6,"")</f>
        <v/>
      </c>
      <c r="E4" s="226" t="str">
        <f>Maaned!AU6</f>
        <v/>
      </c>
      <c r="F4" s="222">
        <f>Maaned!AY6</f>
        <v>2</v>
      </c>
      <c r="G4" s="223" t="str">
        <f>Maaned!AZ6</f>
        <v>to</v>
      </c>
      <c r="H4" s="224" t="str">
        <f>Maaned!BA6</f>
        <v>Normal uge 1</v>
      </c>
      <c r="I4" s="242" t="str">
        <f>IF(Maaned!BC6&lt;&gt;"",Maaned!BC6,"")</f>
        <v/>
      </c>
      <c r="J4" s="226" t="str">
        <f>Maaned!BB6</f>
        <v/>
      </c>
      <c r="K4" s="222">
        <f>Maaned!BF6</f>
        <v>2</v>
      </c>
      <c r="L4" s="223" t="str">
        <f>Maaned!BG6</f>
        <v>sø</v>
      </c>
      <c r="M4" s="224" t="str">
        <f>Maaned!BH6</f>
        <v>Weekend</v>
      </c>
      <c r="N4" s="242" t="str">
        <f>IF(Maaned!BJ6&lt;&gt;"",Maaned!BJ6,"")</f>
        <v>Palmesøndag</v>
      </c>
      <c r="O4" s="232" t="str">
        <f>Maaned!BI6</f>
        <v/>
      </c>
      <c r="P4" s="222">
        <f>Maaned!BM6</f>
        <v>2</v>
      </c>
      <c r="Q4" s="223" t="str">
        <f>Maaned!BN6</f>
        <v>ti</v>
      </c>
      <c r="R4" s="224" t="str">
        <f>Maaned!BO6</f>
        <v>Normal uge 1</v>
      </c>
      <c r="S4" s="242" t="str">
        <f>IF(Maaned!BQ6&lt;&gt;"",Maaned!BQ6,"")</f>
        <v/>
      </c>
      <c r="T4" s="232" t="str">
        <f>Maaned!BP6</f>
        <v/>
      </c>
      <c r="U4" s="222">
        <f>Maaned!BT6</f>
        <v>2</v>
      </c>
      <c r="V4" s="223" t="str">
        <f>Maaned!BU6</f>
        <v>fr</v>
      </c>
      <c r="W4" s="224" t="str">
        <f>Maaned!BV6</f>
        <v>Normal uge 1</v>
      </c>
      <c r="X4" s="242" t="str">
        <f>IF(Maaned!BX6&lt;&gt;"",Maaned!BX6,"")</f>
        <v/>
      </c>
      <c r="Y4" s="226" t="str">
        <f>Maaned!BW6</f>
        <v/>
      </c>
      <c r="Z4" s="222">
        <f>Maaned!CA6</f>
        <v>2</v>
      </c>
      <c r="AA4" s="223" t="str">
        <f>Maaned!CB6</f>
        <v>sø</v>
      </c>
      <c r="AB4" s="224" t="str">
        <f>Maaned!CC6</f>
        <v>Weekend</v>
      </c>
      <c r="AC4" s="242" t="str">
        <f>IF(Maaned!CE6&lt;&gt;"",Maaned!CE6,"")</f>
        <v/>
      </c>
      <c r="AD4" s="232" t="str">
        <f>Maaned!CD6</f>
        <v/>
      </c>
    </row>
    <row r="5" spans="1:30" ht="23" customHeight="1">
      <c r="A5" s="222">
        <f>Maaned!AR7</f>
        <v>3</v>
      </c>
      <c r="B5" s="223" t="str">
        <f>Maaned!AS7</f>
        <v>fr</v>
      </c>
      <c r="C5" s="224" t="str">
        <f>Maaned!AT7</f>
        <v>Normal uge 1</v>
      </c>
      <c r="D5" s="242" t="str">
        <f>IF(Maaned!AV7&lt;&gt;"",Maaned!AV7,"")</f>
        <v/>
      </c>
      <c r="E5" s="226" t="str">
        <f>Maaned!AU7</f>
        <v/>
      </c>
      <c r="F5" s="222">
        <f>Maaned!AY7</f>
        <v>3</v>
      </c>
      <c r="G5" s="223" t="str">
        <f>Maaned!AZ7</f>
        <v>fr</v>
      </c>
      <c r="H5" s="224" t="str">
        <f>Maaned!BA7</f>
        <v>Normal uge 1</v>
      </c>
      <c r="I5" s="242" t="str">
        <f>IF(Maaned!BC7&lt;&gt;"",Maaned!BC7,"")</f>
        <v/>
      </c>
      <c r="J5" s="226" t="str">
        <f>Maaned!BB7</f>
        <v/>
      </c>
      <c r="K5" s="222">
        <f>Maaned!BF7</f>
        <v>3</v>
      </c>
      <c r="L5" s="223" t="str">
        <f>Maaned!BG7</f>
        <v>ma</v>
      </c>
      <c r="M5" s="224" t="str">
        <f>Maaned!BH7</f>
        <v>Normal uge 1</v>
      </c>
      <c r="N5" s="242" t="str">
        <f>IF(Maaned!BJ7&lt;&gt;"",Maaned!BJ7,"")</f>
        <v/>
      </c>
      <c r="O5" s="232">
        <f>Maaned!BI7</f>
        <v>14.142857142857142</v>
      </c>
      <c r="P5" s="222">
        <f>Maaned!BM7</f>
        <v>3</v>
      </c>
      <c r="Q5" s="223" t="str">
        <f>Maaned!BN7</f>
        <v>on</v>
      </c>
      <c r="R5" s="224" t="str">
        <f>Maaned!BO7</f>
        <v>Normal uge 1</v>
      </c>
      <c r="S5" s="242" t="str">
        <f>IF(Maaned!BQ7&lt;&gt;"",Maaned!BQ7,"")</f>
        <v/>
      </c>
      <c r="T5" s="232" t="str">
        <f>Maaned!BP7</f>
        <v/>
      </c>
      <c r="U5" s="222">
        <f>Maaned!BT7</f>
        <v>3</v>
      </c>
      <c r="V5" s="223" t="str">
        <f>Maaned!BU7</f>
        <v>lø</v>
      </c>
      <c r="W5" s="224" t="str">
        <f>Maaned!BV7</f>
        <v>Weekend</v>
      </c>
      <c r="X5" s="242" t="str">
        <f>IF(Maaned!BX7&lt;&gt;"",Maaned!BX7,"")</f>
        <v/>
      </c>
      <c r="Y5" s="226" t="str">
        <f>Maaned!BW7</f>
        <v/>
      </c>
      <c r="Z5" s="222">
        <f>Maaned!CA7</f>
        <v>3</v>
      </c>
      <c r="AA5" s="223" t="str">
        <f>Maaned!CB7</f>
        <v>ma</v>
      </c>
      <c r="AB5" s="224" t="str">
        <f>Maaned!CC7</f>
        <v>Normal uge 1</v>
      </c>
      <c r="AC5" s="242" t="str">
        <f>IF(Maaned!CE7&lt;&gt;"",Maaned!CE7,"")</f>
        <v/>
      </c>
      <c r="AD5" s="232">
        <f>Maaned!CD7</f>
        <v>27.142857142857142</v>
      </c>
    </row>
    <row r="6" spans="1:30" ht="23" customHeight="1">
      <c r="A6" s="222">
        <f>Maaned!AR8</f>
        <v>4</v>
      </c>
      <c r="B6" s="223" t="str">
        <f>Maaned!AS8</f>
        <v>lø</v>
      </c>
      <c r="C6" s="224" t="str">
        <f>Maaned!AT8</f>
        <v>Weekend</v>
      </c>
      <c r="D6" s="242" t="str">
        <f>IF(Maaned!AV8&lt;&gt;"",Maaned!AV8,"")</f>
        <v/>
      </c>
      <c r="E6" s="226" t="str">
        <f>Maaned!AU8</f>
        <v/>
      </c>
      <c r="F6" s="222">
        <f>Maaned!AY8</f>
        <v>4</v>
      </c>
      <c r="G6" s="223" t="str">
        <f>Maaned!AZ8</f>
        <v>lø</v>
      </c>
      <c r="H6" s="224" t="str">
        <f>Maaned!BA8</f>
        <v>Weekend</v>
      </c>
      <c r="I6" s="242" t="str">
        <f>IF(Maaned!BC8&lt;&gt;"",Maaned!BC8,"")</f>
        <v/>
      </c>
      <c r="J6" s="226" t="str">
        <f>Maaned!BB8</f>
        <v/>
      </c>
      <c r="K6" s="222">
        <f>Maaned!BF8</f>
        <v>4</v>
      </c>
      <c r="L6" s="223" t="str">
        <f>Maaned!BG8</f>
        <v>ti</v>
      </c>
      <c r="M6" s="224" t="str">
        <f>Maaned!BH8</f>
        <v>Normal uge 1</v>
      </c>
      <c r="N6" s="242" t="str">
        <f>IF(Maaned!BJ8&lt;&gt;"",Maaned!BJ8,"")</f>
        <v/>
      </c>
      <c r="O6" s="232" t="str">
        <f>Maaned!BI8</f>
        <v/>
      </c>
      <c r="P6" s="222">
        <f>Maaned!BM8</f>
        <v>4</v>
      </c>
      <c r="Q6" s="223" t="str">
        <f>Maaned!BN8</f>
        <v>to</v>
      </c>
      <c r="R6" s="224" t="str">
        <f>Maaned!BO8</f>
        <v>Normal uge 1</v>
      </c>
      <c r="S6" s="242" t="str">
        <f>IF(Maaned!BQ8&lt;&gt;"",Maaned!BQ8,"")</f>
        <v/>
      </c>
      <c r="T6" s="232" t="str">
        <f>Maaned!BP8</f>
        <v/>
      </c>
      <c r="U6" s="222">
        <f>Maaned!BT8</f>
        <v>4</v>
      </c>
      <c r="V6" s="223" t="str">
        <f>Maaned!BU8</f>
        <v>sø</v>
      </c>
      <c r="W6" s="224" t="str">
        <f>Maaned!BV8</f>
        <v>Weekend</v>
      </c>
      <c r="X6" s="242" t="str">
        <f>IF(Maaned!BX8&lt;&gt;"",Maaned!BX8,"")</f>
        <v/>
      </c>
      <c r="Y6" s="226" t="str">
        <f>Maaned!BW8</f>
        <v/>
      </c>
      <c r="Z6" s="222">
        <f>Maaned!CA8</f>
        <v>4</v>
      </c>
      <c r="AA6" s="223" t="str">
        <f>Maaned!CB8</f>
        <v>ti</v>
      </c>
      <c r="AB6" s="224" t="str">
        <f>Maaned!CC8</f>
        <v>Normal uge 1</v>
      </c>
      <c r="AC6" s="242" t="str">
        <f>IF(Maaned!CE8&lt;&gt;"",Maaned!CE8,"")</f>
        <v/>
      </c>
      <c r="AD6" s="232" t="str">
        <f>Maaned!CD8</f>
        <v/>
      </c>
    </row>
    <row r="7" spans="1:30" ht="23" customHeight="1">
      <c r="A7" s="222">
        <f>Maaned!AR9</f>
        <v>5</v>
      </c>
      <c r="B7" s="223" t="str">
        <f>Maaned!AS9</f>
        <v>sø</v>
      </c>
      <c r="C7" s="224" t="str">
        <f>Maaned!AT9</f>
        <v>Weekend</v>
      </c>
      <c r="D7" s="242" t="str">
        <f>IF(Maaned!AV9&lt;&gt;"",Maaned!AV9,"")</f>
        <v/>
      </c>
      <c r="E7" s="226" t="str">
        <f>Maaned!AU9</f>
        <v/>
      </c>
      <c r="F7" s="222">
        <f>Maaned!AY9</f>
        <v>5</v>
      </c>
      <c r="G7" s="223" t="str">
        <f>Maaned!AZ9</f>
        <v>sø</v>
      </c>
      <c r="H7" s="224" t="str">
        <f>Maaned!BA9</f>
        <v>Weekend</v>
      </c>
      <c r="I7" s="242" t="str">
        <f>IF(Maaned!BC9&lt;&gt;"",Maaned!BC9,"")</f>
        <v/>
      </c>
      <c r="J7" s="226" t="str">
        <f>Maaned!BB9</f>
        <v/>
      </c>
      <c r="K7" s="222">
        <f>Maaned!BF9</f>
        <v>5</v>
      </c>
      <c r="L7" s="223" t="str">
        <f>Maaned!BG9</f>
        <v>on</v>
      </c>
      <c r="M7" s="224" t="str">
        <f>Maaned!BH9</f>
        <v>Normal uge 1</v>
      </c>
      <c r="N7" s="242" t="str">
        <f>IF(Maaned!BJ9&lt;&gt;"",Maaned!BJ9,"")</f>
        <v/>
      </c>
      <c r="O7" s="232" t="str">
        <f>Maaned!BI9</f>
        <v/>
      </c>
      <c r="P7" s="222">
        <f>Maaned!BM9</f>
        <v>5</v>
      </c>
      <c r="Q7" s="223" t="str">
        <f>Maaned!BN9</f>
        <v>fr</v>
      </c>
      <c r="R7" s="224" t="str">
        <f>Maaned!BO9</f>
        <v>SH-dag</v>
      </c>
      <c r="S7" s="242" t="str">
        <f>IF(Maaned!BQ9&lt;&gt;"",Maaned!BQ9,"")</f>
        <v>St. Bededag</v>
      </c>
      <c r="T7" s="232" t="str">
        <f>Maaned!BP9</f>
        <v/>
      </c>
      <c r="U7" s="222">
        <f>Maaned!BT9</f>
        <v>5</v>
      </c>
      <c r="V7" s="223" t="str">
        <f>Maaned!BU9</f>
        <v>ma</v>
      </c>
      <c r="W7" s="224" t="str">
        <f>Maaned!BV9</f>
        <v>Normal uge 1</v>
      </c>
      <c r="X7" s="242" t="str">
        <f>IF(Maaned!BX9&lt;&gt;"",Maaned!BX9,"")</f>
        <v>Grundlovsdag</v>
      </c>
      <c r="Y7" s="226">
        <f>Maaned!BW9</f>
        <v>23.142857142857142</v>
      </c>
      <c r="Z7" s="222">
        <f>Maaned!CA9</f>
        <v>5</v>
      </c>
      <c r="AA7" s="223" t="str">
        <f>Maaned!CB9</f>
        <v>on</v>
      </c>
      <c r="AB7" s="224" t="str">
        <f>Maaned!CC9</f>
        <v>Normal uge 1</v>
      </c>
      <c r="AC7" s="242" t="str">
        <f>IF(Maaned!CE9&lt;&gt;"",Maaned!CE9,"")</f>
        <v/>
      </c>
      <c r="AD7" s="232" t="str">
        <f>Maaned!CD9</f>
        <v/>
      </c>
    </row>
    <row r="8" spans="1:30" ht="23" customHeight="1">
      <c r="A8" s="222">
        <f>Maaned!AR10</f>
        <v>6</v>
      </c>
      <c r="B8" s="223" t="str">
        <f>Maaned!AS10</f>
        <v>ma</v>
      </c>
      <c r="C8" s="224" t="str">
        <f>Maaned!AT10</f>
        <v>Normal uge 1</v>
      </c>
      <c r="D8" s="242" t="str">
        <f>IF(Maaned!AV10&lt;&gt;"",Maaned!AV10,"")</f>
        <v/>
      </c>
      <c r="E8" s="226">
        <f>Maaned!AU10</f>
        <v>6.1428571428571432</v>
      </c>
      <c r="F8" s="222">
        <f>Maaned!AY10</f>
        <v>6</v>
      </c>
      <c r="G8" s="223" t="str">
        <f>Maaned!AZ10</f>
        <v>ma</v>
      </c>
      <c r="H8" s="224" t="str">
        <f>Maaned!BA10</f>
        <v>Normal uge 1</v>
      </c>
      <c r="I8" s="242" t="str">
        <f>IF(Maaned!BC10&lt;&gt;"",Maaned!BC10,"")</f>
        <v/>
      </c>
      <c r="J8" s="226">
        <f>Maaned!BB10</f>
        <v>10.142857142857142</v>
      </c>
      <c r="K8" s="222">
        <f>Maaned!BF10</f>
        <v>6</v>
      </c>
      <c r="L8" s="223" t="str">
        <f>Maaned!BG10</f>
        <v>to</v>
      </c>
      <c r="M8" s="224" t="str">
        <f>Maaned!BH10</f>
        <v>SH-dag</v>
      </c>
      <c r="N8" s="242" t="str">
        <f>IF(Maaned!BJ10&lt;&gt;"",Maaned!BJ10,"")</f>
        <v>Skærtorsdag</v>
      </c>
      <c r="O8" s="232" t="str">
        <f>Maaned!BI10</f>
        <v/>
      </c>
      <c r="P8" s="222">
        <f>Maaned!BM10</f>
        <v>6</v>
      </c>
      <c r="Q8" s="223" t="str">
        <f>Maaned!BN10</f>
        <v>lø</v>
      </c>
      <c r="R8" s="224" t="str">
        <f>Maaned!BO10</f>
        <v>Weekend</v>
      </c>
      <c r="S8" s="242" t="str">
        <f>IF(Maaned!BQ10&lt;&gt;"",Maaned!BQ10,"")</f>
        <v/>
      </c>
      <c r="T8" s="232" t="str">
        <f>Maaned!BP10</f>
        <v/>
      </c>
      <c r="U8" s="222">
        <f>Maaned!BT10</f>
        <v>6</v>
      </c>
      <c r="V8" s="223" t="str">
        <f>Maaned!BU10</f>
        <v>ti</v>
      </c>
      <c r="W8" s="224" t="str">
        <f>Maaned!BV10</f>
        <v>Normal uge 1</v>
      </c>
      <c r="X8" s="242" t="str">
        <f>IF(Maaned!BX10&lt;&gt;"",Maaned!BX10,"")</f>
        <v/>
      </c>
      <c r="Y8" s="226" t="str">
        <f>Maaned!BW10</f>
        <v/>
      </c>
      <c r="Z8" s="222">
        <f>Maaned!CA10</f>
        <v>6</v>
      </c>
      <c r="AA8" s="223" t="str">
        <f>Maaned!CB10</f>
        <v>to</v>
      </c>
      <c r="AB8" s="224" t="str">
        <f>Maaned!CC10</f>
        <v>Normal uge 1</v>
      </c>
      <c r="AC8" s="242" t="str">
        <f>IF(Maaned!CE10&lt;&gt;"",Maaned!CE10,"")</f>
        <v/>
      </c>
      <c r="AD8" s="232" t="str">
        <f>Maaned!CD10</f>
        <v/>
      </c>
    </row>
    <row r="9" spans="1:30" ht="23" customHeight="1">
      <c r="A9" s="222">
        <f>Maaned!AR11</f>
        <v>7</v>
      </c>
      <c r="B9" s="223" t="str">
        <f>Maaned!AS11</f>
        <v>ti</v>
      </c>
      <c r="C9" s="224" t="str">
        <f>Maaned!AT11</f>
        <v>Normal uge 1</v>
      </c>
      <c r="D9" s="242" t="str">
        <f>IF(Maaned!AV11&lt;&gt;"",Maaned!AV11,"")</f>
        <v/>
      </c>
      <c r="E9" s="226" t="str">
        <f>Maaned!AU11</f>
        <v/>
      </c>
      <c r="F9" s="222">
        <f>Maaned!AY11</f>
        <v>7</v>
      </c>
      <c r="G9" s="223" t="str">
        <f>Maaned!AZ11</f>
        <v>ti</v>
      </c>
      <c r="H9" s="224" t="str">
        <f>Maaned!BA11</f>
        <v>Normal uge 1</v>
      </c>
      <c r="I9" s="242" t="str">
        <f>IF(Maaned!BC11&lt;&gt;"",Maaned!BC11,"")</f>
        <v/>
      </c>
      <c r="J9" s="226" t="str">
        <f>Maaned!BB11</f>
        <v/>
      </c>
      <c r="K9" s="222">
        <f>Maaned!BF11</f>
        <v>7</v>
      </c>
      <c r="L9" s="223" t="str">
        <f>Maaned!BG11</f>
        <v>fr</v>
      </c>
      <c r="M9" s="224" t="str">
        <f>Maaned!BH11</f>
        <v>SH-dag</v>
      </c>
      <c r="N9" s="242" t="str">
        <f>IF(Maaned!BJ11&lt;&gt;"",Maaned!BJ11,"")</f>
        <v>Langfredag</v>
      </c>
      <c r="O9" s="232" t="str">
        <f>Maaned!BI11</f>
        <v/>
      </c>
      <c r="P9" s="222">
        <f>Maaned!BM11</f>
        <v>7</v>
      </c>
      <c r="Q9" s="223" t="str">
        <f>Maaned!BN11</f>
        <v>sø</v>
      </c>
      <c r="R9" s="224" t="str">
        <f>Maaned!BO11</f>
        <v>Weekend</v>
      </c>
      <c r="S9" s="242" t="str">
        <f>IF(Maaned!BQ11&lt;&gt;"",Maaned!BQ11,"")</f>
        <v/>
      </c>
      <c r="T9" s="232" t="str">
        <f>Maaned!BP11</f>
        <v/>
      </c>
      <c r="U9" s="222">
        <f>Maaned!BT11</f>
        <v>7</v>
      </c>
      <c r="V9" s="223" t="str">
        <f>Maaned!BU11</f>
        <v>on</v>
      </c>
      <c r="W9" s="224" t="str">
        <f>Maaned!BV11</f>
        <v>Normal uge 1</v>
      </c>
      <c r="X9" s="242" t="str">
        <f>IF(Maaned!BX11&lt;&gt;"",Maaned!BX11,"")</f>
        <v/>
      </c>
      <c r="Y9" s="226" t="str">
        <f>Maaned!BW11</f>
        <v/>
      </c>
      <c r="Z9" s="222">
        <f>Maaned!CA11</f>
        <v>7</v>
      </c>
      <c r="AA9" s="223" t="str">
        <f>Maaned!CB11</f>
        <v>fr</v>
      </c>
      <c r="AB9" s="224" t="str">
        <f>Maaned!CC11</f>
        <v>Normal uge 1</v>
      </c>
      <c r="AC9" s="242" t="str">
        <f>IF(Maaned!CE11&lt;&gt;"",Maaned!CE11,"")</f>
        <v/>
      </c>
      <c r="AD9" s="232" t="str">
        <f>Maaned!CD11</f>
        <v/>
      </c>
    </row>
    <row r="10" spans="1:30" ht="23" customHeight="1">
      <c r="A10" s="222">
        <f>Maaned!AR12</f>
        <v>8</v>
      </c>
      <c r="B10" s="223" t="str">
        <f>Maaned!AS12</f>
        <v>on</v>
      </c>
      <c r="C10" s="224" t="str">
        <f>Maaned!AT12</f>
        <v>Normal uge 1</v>
      </c>
      <c r="D10" s="242" t="str">
        <f>IF(Maaned!AV12&lt;&gt;"",Maaned!AV12,"")</f>
        <v/>
      </c>
      <c r="E10" s="226" t="str">
        <f>Maaned!AU12</f>
        <v/>
      </c>
      <c r="F10" s="222">
        <f>Maaned!AY12</f>
        <v>8</v>
      </c>
      <c r="G10" s="223" t="str">
        <f>Maaned!AZ12</f>
        <v>on</v>
      </c>
      <c r="H10" s="224" t="str">
        <f>Maaned!BA12</f>
        <v>Normal uge 1</v>
      </c>
      <c r="I10" s="242" t="str">
        <f>IF(Maaned!BC12&lt;&gt;"",Maaned!BC12,"")</f>
        <v/>
      </c>
      <c r="J10" s="226" t="str">
        <f>Maaned!BB12</f>
        <v/>
      </c>
      <c r="K10" s="222">
        <f>Maaned!BF12</f>
        <v>8</v>
      </c>
      <c r="L10" s="223" t="str">
        <f>Maaned!BG12</f>
        <v>lø</v>
      </c>
      <c r="M10" s="224" t="str">
        <f>Maaned!BH12</f>
        <v>Weekend</v>
      </c>
      <c r="N10" s="242" t="str">
        <f>IF(Maaned!BJ12&lt;&gt;"",Maaned!BJ12,"")</f>
        <v/>
      </c>
      <c r="O10" s="232" t="str">
        <f>Maaned!BI12</f>
        <v/>
      </c>
      <c r="P10" s="222">
        <f>Maaned!BM12</f>
        <v>8</v>
      </c>
      <c r="Q10" s="223" t="str">
        <f>Maaned!BN12</f>
        <v>ma</v>
      </c>
      <c r="R10" s="224" t="str">
        <f>Maaned!BO12</f>
        <v>Normal uge 1</v>
      </c>
      <c r="S10" s="242" t="str">
        <f>IF(Maaned!BQ12&lt;&gt;"",Maaned!BQ12,"")</f>
        <v/>
      </c>
      <c r="T10" s="232">
        <f>Maaned!BP12</f>
        <v>19.142857142857142</v>
      </c>
      <c r="U10" s="222">
        <f>Maaned!BT12</f>
        <v>8</v>
      </c>
      <c r="V10" s="223" t="str">
        <f>Maaned!BU12</f>
        <v>to</v>
      </c>
      <c r="W10" s="224" t="str">
        <f>Maaned!BV12</f>
        <v>Normal uge 1</v>
      </c>
      <c r="X10" s="242" t="str">
        <f>IF(Maaned!BX12&lt;&gt;"",Maaned!BX12,"")</f>
        <v/>
      </c>
      <c r="Y10" s="226" t="str">
        <f>Maaned!BW12</f>
        <v/>
      </c>
      <c r="Z10" s="222">
        <f>Maaned!CA12</f>
        <v>8</v>
      </c>
      <c r="AA10" s="223" t="str">
        <f>Maaned!CB12</f>
        <v>lø</v>
      </c>
      <c r="AB10" s="224" t="str">
        <f>Maaned!CC12</f>
        <v>Weekend</v>
      </c>
      <c r="AC10" s="242" t="str">
        <f>IF(Maaned!CE12&lt;&gt;"",Maaned!CE12,"")</f>
        <v/>
      </c>
      <c r="AD10" s="232" t="str">
        <f>Maaned!CD12</f>
        <v/>
      </c>
    </row>
    <row r="11" spans="1:30" ht="23" customHeight="1">
      <c r="A11" s="222">
        <f>Maaned!AR13</f>
        <v>9</v>
      </c>
      <c r="B11" s="223" t="str">
        <f>Maaned!AS13</f>
        <v>to</v>
      </c>
      <c r="C11" s="224" t="str">
        <f>Maaned!AT13</f>
        <v>Normal uge 1</v>
      </c>
      <c r="D11" s="242" t="str">
        <f>IF(Maaned!AV13&lt;&gt;"",Maaned!AV13,"")</f>
        <v/>
      </c>
      <c r="E11" s="226" t="str">
        <f>Maaned!AU13</f>
        <v/>
      </c>
      <c r="F11" s="222">
        <f>Maaned!AY13</f>
        <v>9</v>
      </c>
      <c r="G11" s="223" t="str">
        <f>Maaned!AZ13</f>
        <v>to</v>
      </c>
      <c r="H11" s="224" t="str">
        <f>Maaned!BA13</f>
        <v>Normal uge 1</v>
      </c>
      <c r="I11" s="242" t="str">
        <f>IF(Maaned!BC13&lt;&gt;"",Maaned!BC13,"")</f>
        <v/>
      </c>
      <c r="J11" s="226" t="str">
        <f>Maaned!BB13</f>
        <v/>
      </c>
      <c r="K11" s="222">
        <f>Maaned!BF13</f>
        <v>9</v>
      </c>
      <c r="L11" s="223" t="str">
        <f>Maaned!BG13</f>
        <v>sø</v>
      </c>
      <c r="M11" s="224" t="str">
        <f>Maaned!BH13</f>
        <v>Weekend</v>
      </c>
      <c r="N11" s="242" t="str">
        <f>IF(Maaned!BJ13&lt;&gt;"",Maaned!BJ13,"")</f>
        <v>Påskedag</v>
      </c>
      <c r="O11" s="232" t="str">
        <f>Maaned!BI13</f>
        <v/>
      </c>
      <c r="P11" s="222">
        <f>Maaned!BM13</f>
        <v>9</v>
      </c>
      <c r="Q11" s="223" t="str">
        <f>Maaned!BN13</f>
        <v>ti</v>
      </c>
      <c r="R11" s="224" t="str">
        <f>Maaned!BO13</f>
        <v>Normal uge 1</v>
      </c>
      <c r="S11" s="242" t="str">
        <f>IF(Maaned!BQ13&lt;&gt;"",Maaned!BQ13,"")</f>
        <v/>
      </c>
      <c r="T11" s="232" t="str">
        <f>Maaned!BP13</f>
        <v/>
      </c>
      <c r="U11" s="222">
        <f>Maaned!BT13</f>
        <v>9</v>
      </c>
      <c r="V11" s="223" t="str">
        <f>Maaned!BU13</f>
        <v>fr</v>
      </c>
      <c r="W11" s="224" t="str">
        <f>Maaned!BV13</f>
        <v>Normal uge 1</v>
      </c>
      <c r="X11" s="242" t="str">
        <f>IF(Maaned!BX13&lt;&gt;"",Maaned!BX13,"")</f>
        <v/>
      </c>
      <c r="Y11" s="226" t="str">
        <f>Maaned!BW13</f>
        <v/>
      </c>
      <c r="Z11" s="222">
        <f>Maaned!CA13</f>
        <v>9</v>
      </c>
      <c r="AA11" s="223" t="str">
        <f>Maaned!CB13</f>
        <v>sø</v>
      </c>
      <c r="AB11" s="224" t="str">
        <f>Maaned!CC13</f>
        <v>Weekend</v>
      </c>
      <c r="AC11" s="242" t="str">
        <f>IF(Maaned!CE13&lt;&gt;"",Maaned!CE13,"")</f>
        <v/>
      </c>
      <c r="AD11" s="232" t="str">
        <f>Maaned!CD13</f>
        <v/>
      </c>
    </row>
    <row r="12" spans="1:30" ht="23" customHeight="1">
      <c r="A12" s="222">
        <f>Maaned!AR14</f>
        <v>10</v>
      </c>
      <c r="B12" s="223" t="str">
        <f>Maaned!AS14</f>
        <v>fr</v>
      </c>
      <c r="C12" s="224" t="str">
        <f>Maaned!AT14</f>
        <v>Normal uge 1</v>
      </c>
      <c r="D12" s="242" t="str">
        <f>IF(Maaned!AV14&lt;&gt;"",Maaned!AV14,"")</f>
        <v/>
      </c>
      <c r="E12" s="226" t="str">
        <f>Maaned!AU14</f>
        <v/>
      </c>
      <c r="F12" s="222">
        <f>Maaned!AY14</f>
        <v>10</v>
      </c>
      <c r="G12" s="223" t="str">
        <f>Maaned!AZ14</f>
        <v>fr</v>
      </c>
      <c r="H12" s="224" t="str">
        <f>Maaned!BA14</f>
        <v>Normal uge 1</v>
      </c>
      <c r="I12" s="242" t="str">
        <f>IF(Maaned!BC14&lt;&gt;"",Maaned!BC14,"")</f>
        <v/>
      </c>
      <c r="J12" s="226" t="str">
        <f>Maaned!BB14</f>
        <v/>
      </c>
      <c r="K12" s="222">
        <f>Maaned!BF14</f>
        <v>10</v>
      </c>
      <c r="L12" s="223" t="str">
        <f>Maaned!BG14</f>
        <v>ma</v>
      </c>
      <c r="M12" s="224" t="str">
        <f>Maaned!BH14</f>
        <v>SH-dag</v>
      </c>
      <c r="N12" s="242" t="str">
        <f>IF(Maaned!BJ14&lt;&gt;"",Maaned!BJ14,"")</f>
        <v>2. Påskedag</v>
      </c>
      <c r="O12" s="232">
        <f>Maaned!BI14</f>
        <v>15.142857142857142</v>
      </c>
      <c r="P12" s="222">
        <f>Maaned!BM14</f>
        <v>10</v>
      </c>
      <c r="Q12" s="223" t="str">
        <f>Maaned!BN14</f>
        <v>on</v>
      </c>
      <c r="R12" s="224" t="str">
        <f>Maaned!BO14</f>
        <v>Normal uge 1</v>
      </c>
      <c r="S12" s="242" t="str">
        <f>IF(Maaned!BQ14&lt;&gt;"",Maaned!BQ14,"")</f>
        <v/>
      </c>
      <c r="T12" s="232" t="str">
        <f>Maaned!BP14</f>
        <v/>
      </c>
      <c r="U12" s="222">
        <f>Maaned!BT14</f>
        <v>10</v>
      </c>
      <c r="V12" s="223" t="str">
        <f>Maaned!BU14</f>
        <v>lø</v>
      </c>
      <c r="W12" s="224" t="str">
        <f>Maaned!BV14</f>
        <v>Weekend</v>
      </c>
      <c r="X12" s="242" t="str">
        <f>IF(Maaned!BX14&lt;&gt;"",Maaned!BX14,"")</f>
        <v/>
      </c>
      <c r="Y12" s="226" t="str">
        <f>Maaned!BW14</f>
        <v/>
      </c>
      <c r="Z12" s="222">
        <f>Maaned!CA14</f>
        <v>10</v>
      </c>
      <c r="AA12" s="223" t="str">
        <f>Maaned!CB14</f>
        <v>ma</v>
      </c>
      <c r="AB12" s="224" t="str">
        <f>Maaned!CC14</f>
        <v>Normal uge 1</v>
      </c>
      <c r="AC12" s="242" t="str">
        <f>IF(Maaned!CE14&lt;&gt;"",Maaned!CE14,"")</f>
        <v/>
      </c>
      <c r="AD12" s="232">
        <f>Maaned!CD14</f>
        <v>28.142857142857142</v>
      </c>
    </row>
    <row r="13" spans="1:30" ht="23" customHeight="1">
      <c r="A13" s="222">
        <f>Maaned!AR15</f>
        <v>11</v>
      </c>
      <c r="B13" s="223" t="str">
        <f>Maaned!AS15</f>
        <v>lø</v>
      </c>
      <c r="C13" s="224" t="str">
        <f>Maaned!AT15</f>
        <v>Weekend</v>
      </c>
      <c r="D13" s="242" t="str">
        <f>IF(Maaned!AV15&lt;&gt;"",Maaned!AV15,"")</f>
        <v/>
      </c>
      <c r="E13" s="226" t="str">
        <f>Maaned!AU15</f>
        <v/>
      </c>
      <c r="F13" s="222">
        <f>Maaned!AY15</f>
        <v>11</v>
      </c>
      <c r="G13" s="223" t="str">
        <f>Maaned!AZ15</f>
        <v>lø</v>
      </c>
      <c r="H13" s="224" t="str">
        <f>Maaned!BA15</f>
        <v>Weekend</v>
      </c>
      <c r="I13" s="242" t="str">
        <f>IF(Maaned!BC15&lt;&gt;"",Maaned!BC15,"")</f>
        <v/>
      </c>
      <c r="J13" s="226" t="str">
        <f>Maaned!BB15</f>
        <v/>
      </c>
      <c r="K13" s="222">
        <f>Maaned!BF15</f>
        <v>11</v>
      </c>
      <c r="L13" s="223" t="str">
        <f>Maaned!BG15</f>
        <v>ti</v>
      </c>
      <c r="M13" s="224" t="str">
        <f>Maaned!BH15</f>
        <v>Normal uge 1</v>
      </c>
      <c r="N13" s="242" t="str">
        <f>IF(Maaned!BJ15&lt;&gt;"",Maaned!BJ15,"")</f>
        <v/>
      </c>
      <c r="O13" s="232" t="str">
        <f>Maaned!BI15</f>
        <v/>
      </c>
      <c r="P13" s="222">
        <f>Maaned!BM15</f>
        <v>11</v>
      </c>
      <c r="Q13" s="223" t="str">
        <f>Maaned!BN15</f>
        <v>to</v>
      </c>
      <c r="R13" s="224" t="str">
        <f>Maaned!BO15</f>
        <v>Normal uge 1</v>
      </c>
      <c r="S13" s="242" t="str">
        <f>IF(Maaned!BQ15&lt;&gt;"",Maaned!BQ15,"")</f>
        <v/>
      </c>
      <c r="T13" s="232" t="str">
        <f>Maaned!BP15</f>
        <v/>
      </c>
      <c r="U13" s="222">
        <f>Maaned!BT15</f>
        <v>11</v>
      </c>
      <c r="V13" s="223" t="str">
        <f>Maaned!BU15</f>
        <v>sø</v>
      </c>
      <c r="W13" s="224" t="str">
        <f>Maaned!BV15</f>
        <v>Weekend</v>
      </c>
      <c r="X13" s="242" t="str">
        <f>IF(Maaned!BX15&lt;&gt;"",Maaned!BX15,"")</f>
        <v/>
      </c>
      <c r="Y13" s="226" t="str">
        <f>Maaned!BW15</f>
        <v/>
      </c>
      <c r="Z13" s="222">
        <f>Maaned!CA15</f>
        <v>11</v>
      </c>
      <c r="AA13" s="223" t="str">
        <f>Maaned!CB15</f>
        <v>ti</v>
      </c>
      <c r="AB13" s="224" t="str">
        <f>Maaned!CC15</f>
        <v>Normal uge 1</v>
      </c>
      <c r="AC13" s="242" t="str">
        <f>IF(Maaned!CE15&lt;&gt;"",Maaned!CE15,"")</f>
        <v/>
      </c>
      <c r="AD13" s="232" t="str">
        <f>Maaned!CD15</f>
        <v/>
      </c>
    </row>
    <row r="14" spans="1:30" ht="23" customHeight="1">
      <c r="A14" s="222">
        <f>Maaned!AR16</f>
        <v>12</v>
      </c>
      <c r="B14" s="223" t="str">
        <f>Maaned!AS16</f>
        <v>sø</v>
      </c>
      <c r="C14" s="224" t="str">
        <f>Maaned!AT16</f>
        <v>Weekend</v>
      </c>
      <c r="D14" s="242" t="str">
        <f>IF(Maaned!AV16&lt;&gt;"",Maaned!AV16,"")</f>
        <v/>
      </c>
      <c r="E14" s="226" t="str">
        <f>Maaned!AU16</f>
        <v/>
      </c>
      <c r="F14" s="222">
        <f>Maaned!AY16</f>
        <v>12</v>
      </c>
      <c r="G14" s="223" t="str">
        <f>Maaned!AZ16</f>
        <v>sø</v>
      </c>
      <c r="H14" s="224" t="str">
        <f>Maaned!BA16</f>
        <v>Weekend</v>
      </c>
      <c r="I14" s="242" t="str">
        <f>IF(Maaned!BC16&lt;&gt;"",Maaned!BC16,"")</f>
        <v/>
      </c>
      <c r="J14" s="226" t="str">
        <f>Maaned!BB16</f>
        <v/>
      </c>
      <c r="K14" s="222">
        <f>Maaned!BF16</f>
        <v>12</v>
      </c>
      <c r="L14" s="223" t="str">
        <f>Maaned!BG16</f>
        <v>on</v>
      </c>
      <c r="M14" s="224" t="str">
        <f>Maaned!BH16</f>
        <v>Normal uge 1</v>
      </c>
      <c r="N14" s="242" t="str">
        <f>IF(Maaned!BJ16&lt;&gt;"",Maaned!BJ16,"")</f>
        <v/>
      </c>
      <c r="O14" s="232" t="str">
        <f>Maaned!BI16</f>
        <v/>
      </c>
      <c r="P14" s="222">
        <f>Maaned!BM16</f>
        <v>12</v>
      </c>
      <c r="Q14" s="223" t="str">
        <f>Maaned!BN16</f>
        <v>fr</v>
      </c>
      <c r="R14" s="224" t="str">
        <f>Maaned!BO16</f>
        <v>Normal uge 1</v>
      </c>
      <c r="S14" s="242" t="str">
        <f>IF(Maaned!BQ16&lt;&gt;"",Maaned!BQ16,"")</f>
        <v/>
      </c>
      <c r="T14" s="232" t="str">
        <f>Maaned!BP16</f>
        <v/>
      </c>
      <c r="U14" s="222">
        <f>Maaned!BT16</f>
        <v>12</v>
      </c>
      <c r="V14" s="223" t="str">
        <f>Maaned!BU16</f>
        <v>ma</v>
      </c>
      <c r="W14" s="224" t="str">
        <f>Maaned!BV16</f>
        <v>Normal uge 1</v>
      </c>
      <c r="X14" s="242" t="str">
        <f>IF(Maaned!BX16&lt;&gt;"",Maaned!BX16,"")</f>
        <v/>
      </c>
      <c r="Y14" s="226">
        <f>Maaned!BW16</f>
        <v>24.142857142857142</v>
      </c>
      <c r="Z14" s="222">
        <f>Maaned!CA16</f>
        <v>12</v>
      </c>
      <c r="AA14" s="223" t="str">
        <f>Maaned!CB16</f>
        <v>on</v>
      </c>
      <c r="AB14" s="224" t="str">
        <f>Maaned!CC16</f>
        <v>Normal uge 1</v>
      </c>
      <c r="AC14" s="242" t="str">
        <f>IF(Maaned!CE16&lt;&gt;"",Maaned!CE16,"")</f>
        <v/>
      </c>
      <c r="AD14" s="232" t="str">
        <f>Maaned!CD16</f>
        <v/>
      </c>
    </row>
    <row r="15" spans="1:30" ht="23" customHeight="1">
      <c r="A15" s="222">
        <f>Maaned!AR17</f>
        <v>13</v>
      </c>
      <c r="B15" s="223" t="str">
        <f>Maaned!AS17</f>
        <v>ma</v>
      </c>
      <c r="C15" s="224" t="str">
        <f>Maaned!AT17</f>
        <v>Normal uge 1</v>
      </c>
      <c r="D15" s="242" t="str">
        <f>IF(Maaned!AV17&lt;&gt;"",Maaned!AV17,"")</f>
        <v/>
      </c>
      <c r="E15" s="226">
        <f>Maaned!AU17</f>
        <v>7.1428571428571432</v>
      </c>
      <c r="F15" s="222">
        <f>Maaned!AY17</f>
        <v>13</v>
      </c>
      <c r="G15" s="223" t="str">
        <f>Maaned!AZ17</f>
        <v>ma</v>
      </c>
      <c r="H15" s="224" t="str">
        <f>Maaned!BA17</f>
        <v>Normal uge 1</v>
      </c>
      <c r="I15" s="242" t="str">
        <f>IF(Maaned!BC17&lt;&gt;"",Maaned!BC17,"")</f>
        <v/>
      </c>
      <c r="J15" s="226">
        <f>Maaned!BB17</f>
        <v>11.142857142857142</v>
      </c>
      <c r="K15" s="222">
        <f>Maaned!BF17</f>
        <v>13</v>
      </c>
      <c r="L15" s="223" t="str">
        <f>Maaned!BG17</f>
        <v>to</v>
      </c>
      <c r="M15" s="224" t="str">
        <f>Maaned!BH17</f>
        <v>Normal uge 1</v>
      </c>
      <c r="N15" s="242" t="str">
        <f>IF(Maaned!BJ17&lt;&gt;"",Maaned!BJ17,"")</f>
        <v/>
      </c>
      <c r="O15" s="232" t="str">
        <f>Maaned!BI17</f>
        <v/>
      </c>
      <c r="P15" s="222">
        <f>Maaned!BM17</f>
        <v>13</v>
      </c>
      <c r="Q15" s="223" t="str">
        <f>Maaned!BN17</f>
        <v>lø</v>
      </c>
      <c r="R15" s="224" t="str">
        <f>Maaned!BO17</f>
        <v>Weekend</v>
      </c>
      <c r="S15" s="242" t="str">
        <f>IF(Maaned!BQ17&lt;&gt;"",Maaned!BQ17,"")</f>
        <v/>
      </c>
      <c r="T15" s="232" t="str">
        <f>Maaned!BP17</f>
        <v/>
      </c>
      <c r="U15" s="222">
        <f>Maaned!BT17</f>
        <v>13</v>
      </c>
      <c r="V15" s="223" t="str">
        <f>Maaned!BU17</f>
        <v>ti</v>
      </c>
      <c r="W15" s="224" t="str">
        <f>Maaned!BV17</f>
        <v>Normal uge 1</v>
      </c>
      <c r="X15" s="242" t="str">
        <f>IF(Maaned!BX17&lt;&gt;"",Maaned!BX17,"")</f>
        <v/>
      </c>
      <c r="Y15" s="226" t="str">
        <f>Maaned!BW17</f>
        <v/>
      </c>
      <c r="Z15" s="222">
        <f>Maaned!CA17</f>
        <v>13</v>
      </c>
      <c r="AA15" s="223" t="str">
        <f>Maaned!CB17</f>
        <v>to</v>
      </c>
      <c r="AB15" s="224" t="str">
        <f>Maaned!CC17</f>
        <v>Normal uge 1</v>
      </c>
      <c r="AC15" s="242" t="str">
        <f>IF(Maaned!CE17&lt;&gt;"",Maaned!CE17,"")</f>
        <v/>
      </c>
      <c r="AD15" s="232" t="str">
        <f>Maaned!CD17</f>
        <v/>
      </c>
    </row>
    <row r="16" spans="1:30" ht="23" customHeight="1">
      <c r="A16" s="222">
        <f>Maaned!AR18</f>
        <v>14</v>
      </c>
      <c r="B16" s="223" t="str">
        <f>Maaned!AS18</f>
        <v>ti</v>
      </c>
      <c r="C16" s="224" t="str">
        <f>Maaned!AT18</f>
        <v>Normal uge 1</v>
      </c>
      <c r="D16" s="242" t="str">
        <f>IF(Maaned!AV18&lt;&gt;"",Maaned!AV18,"")</f>
        <v/>
      </c>
      <c r="E16" s="226" t="str">
        <f>Maaned!AU18</f>
        <v/>
      </c>
      <c r="F16" s="222">
        <f>Maaned!AY18</f>
        <v>14</v>
      </c>
      <c r="G16" s="223" t="str">
        <f>Maaned!AZ18</f>
        <v>ti</v>
      </c>
      <c r="H16" s="224" t="str">
        <f>Maaned!BA18</f>
        <v>Normal uge 1</v>
      </c>
      <c r="I16" s="242" t="str">
        <f>IF(Maaned!BC18&lt;&gt;"",Maaned!BC18,"")</f>
        <v/>
      </c>
      <c r="J16" s="226" t="str">
        <f>Maaned!BB18</f>
        <v/>
      </c>
      <c r="K16" s="222">
        <f>Maaned!BF18</f>
        <v>14</v>
      </c>
      <c r="L16" s="223" t="str">
        <f>Maaned!BG18</f>
        <v>fr</v>
      </c>
      <c r="M16" s="224" t="str">
        <f>Maaned!BH18</f>
        <v>Normal uge 1</v>
      </c>
      <c r="N16" s="242" t="str">
        <f>IF(Maaned!BJ18&lt;&gt;"",Maaned!BJ18,"")</f>
        <v/>
      </c>
      <c r="O16" s="232" t="str">
        <f>Maaned!BI18</f>
        <v/>
      </c>
      <c r="P16" s="222">
        <f>Maaned!BM18</f>
        <v>14</v>
      </c>
      <c r="Q16" s="223" t="str">
        <f>Maaned!BN18</f>
        <v>sø</v>
      </c>
      <c r="R16" s="224" t="str">
        <f>Maaned!BO18</f>
        <v>Weekend</v>
      </c>
      <c r="S16" s="242" t="str">
        <f>IF(Maaned!BQ18&lt;&gt;"",Maaned!BQ18,"")</f>
        <v/>
      </c>
      <c r="T16" s="232" t="str">
        <f>Maaned!BP18</f>
        <v/>
      </c>
      <c r="U16" s="222">
        <f>Maaned!BT18</f>
        <v>14</v>
      </c>
      <c r="V16" s="223" t="str">
        <f>Maaned!BU18</f>
        <v>on</v>
      </c>
      <c r="W16" s="224" t="str">
        <f>Maaned!BV18</f>
        <v>Normal uge 1</v>
      </c>
      <c r="X16" s="242" t="str">
        <f>IF(Maaned!BX18&lt;&gt;"",Maaned!BX18,"")</f>
        <v/>
      </c>
      <c r="Y16" s="226" t="str">
        <f>Maaned!BW18</f>
        <v/>
      </c>
      <c r="Z16" s="222">
        <f>Maaned!CA18</f>
        <v>14</v>
      </c>
      <c r="AA16" s="223" t="str">
        <f>Maaned!CB18</f>
        <v>fr</v>
      </c>
      <c r="AB16" s="224" t="str">
        <f>Maaned!CC18</f>
        <v>Normal uge 1</v>
      </c>
      <c r="AC16" s="242" t="str">
        <f>IF(Maaned!CE18&lt;&gt;"",Maaned!CE18,"")</f>
        <v/>
      </c>
      <c r="AD16" s="232" t="str">
        <f>Maaned!CD18</f>
        <v/>
      </c>
    </row>
    <row r="17" spans="1:30" ht="23" customHeight="1">
      <c r="A17" s="222">
        <f>Maaned!AR19</f>
        <v>15</v>
      </c>
      <c r="B17" s="223" t="str">
        <f>Maaned!AS19</f>
        <v>on</v>
      </c>
      <c r="C17" s="224" t="str">
        <f>Maaned!AT19</f>
        <v>Normal uge 1</v>
      </c>
      <c r="D17" s="242" t="str">
        <f>IF(Maaned!AV19&lt;&gt;"",Maaned!AV19,"")</f>
        <v/>
      </c>
      <c r="E17" s="226" t="str">
        <f>Maaned!AU19</f>
        <v/>
      </c>
      <c r="F17" s="222">
        <f>Maaned!AY19</f>
        <v>15</v>
      </c>
      <c r="G17" s="223" t="str">
        <f>Maaned!AZ19</f>
        <v>on</v>
      </c>
      <c r="H17" s="224" t="str">
        <f>Maaned!BA19</f>
        <v>Normal uge 1</v>
      </c>
      <c r="I17" s="242" t="str">
        <f>IF(Maaned!BC19&lt;&gt;"",Maaned!BC19,"")</f>
        <v/>
      </c>
      <c r="J17" s="226" t="str">
        <f>Maaned!BB19</f>
        <v/>
      </c>
      <c r="K17" s="222">
        <f>Maaned!BF19</f>
        <v>15</v>
      </c>
      <c r="L17" s="223" t="str">
        <f>Maaned!BG19</f>
        <v>lø</v>
      </c>
      <c r="M17" s="224" t="str">
        <f>Maaned!BH19</f>
        <v>Weekend</v>
      </c>
      <c r="N17" s="242" t="str">
        <f>IF(Maaned!BJ19&lt;&gt;"",Maaned!BJ19,"")</f>
        <v/>
      </c>
      <c r="O17" s="232" t="str">
        <f>Maaned!BI19</f>
        <v/>
      </c>
      <c r="P17" s="222">
        <f>Maaned!BM19</f>
        <v>15</v>
      </c>
      <c r="Q17" s="223" t="str">
        <f>Maaned!BN19</f>
        <v>ma</v>
      </c>
      <c r="R17" s="224" t="str">
        <f>Maaned!BO19</f>
        <v>Normal uge 1</v>
      </c>
      <c r="S17" s="242" t="str">
        <f>IF(Maaned!BQ19&lt;&gt;"",Maaned!BQ19,"")</f>
        <v/>
      </c>
      <c r="T17" s="232">
        <f>Maaned!BP19</f>
        <v>20.142857142857142</v>
      </c>
      <c r="U17" s="222">
        <f>Maaned!BT19</f>
        <v>15</v>
      </c>
      <c r="V17" s="223" t="str">
        <f>Maaned!BU19</f>
        <v>to</v>
      </c>
      <c r="W17" s="224" t="str">
        <f>Maaned!BV19</f>
        <v>Normal uge 1</v>
      </c>
      <c r="X17" s="242" t="str">
        <f>IF(Maaned!BX19&lt;&gt;"",Maaned!BX19,"")</f>
        <v/>
      </c>
      <c r="Y17" s="226" t="str">
        <f>Maaned!BW19</f>
        <v/>
      </c>
      <c r="Z17" s="222">
        <f>Maaned!CA19</f>
        <v>15</v>
      </c>
      <c r="AA17" s="223" t="str">
        <f>Maaned!CB19</f>
        <v>lø</v>
      </c>
      <c r="AB17" s="224" t="str">
        <f>Maaned!CC19</f>
        <v>Weekend</v>
      </c>
      <c r="AC17" s="242" t="str">
        <f>IF(Maaned!CE19&lt;&gt;"",Maaned!CE19,"")</f>
        <v/>
      </c>
      <c r="AD17" s="232" t="str">
        <f>Maaned!CD19</f>
        <v/>
      </c>
    </row>
    <row r="18" spans="1:30" ht="23" customHeight="1">
      <c r="A18" s="222">
        <f>Maaned!AR20</f>
        <v>16</v>
      </c>
      <c r="B18" s="223" t="str">
        <f>Maaned!AS20</f>
        <v>to</v>
      </c>
      <c r="C18" s="224" t="str">
        <f>Maaned!AT20</f>
        <v>Normal uge 1</v>
      </c>
      <c r="D18" s="242" t="str">
        <f>IF(Maaned!AV20&lt;&gt;"",Maaned!AV20,"")</f>
        <v/>
      </c>
      <c r="E18" s="226" t="str">
        <f>Maaned!AU20</f>
        <v/>
      </c>
      <c r="F18" s="222">
        <f>Maaned!AY20</f>
        <v>16</v>
      </c>
      <c r="G18" s="223" t="str">
        <f>Maaned!AZ20</f>
        <v>to</v>
      </c>
      <c r="H18" s="224" t="str">
        <f>Maaned!BA20</f>
        <v>Normal uge 1</v>
      </c>
      <c r="I18" s="242" t="str">
        <f>IF(Maaned!BC20&lt;&gt;"",Maaned!BC20,"")</f>
        <v/>
      </c>
      <c r="J18" s="226" t="str">
        <f>Maaned!BB20</f>
        <v/>
      </c>
      <c r="K18" s="222">
        <f>Maaned!BF20</f>
        <v>16</v>
      </c>
      <c r="L18" s="223" t="str">
        <f>Maaned!BG20</f>
        <v>sø</v>
      </c>
      <c r="M18" s="224" t="str">
        <f>Maaned!BH20</f>
        <v>Weekend</v>
      </c>
      <c r="N18" s="242" t="str">
        <f>IF(Maaned!BJ20&lt;&gt;"",Maaned!BJ20,"")</f>
        <v/>
      </c>
      <c r="O18" s="232" t="str">
        <f>Maaned!BI20</f>
        <v/>
      </c>
      <c r="P18" s="222">
        <f>Maaned!BM20</f>
        <v>16</v>
      </c>
      <c r="Q18" s="223" t="str">
        <f>Maaned!BN20</f>
        <v>ti</v>
      </c>
      <c r="R18" s="224" t="str">
        <f>Maaned!BO20</f>
        <v>Normal uge 1</v>
      </c>
      <c r="S18" s="242" t="str">
        <f>IF(Maaned!BQ20&lt;&gt;"",Maaned!BQ20,"")</f>
        <v/>
      </c>
      <c r="T18" s="232" t="str">
        <f>Maaned!BP20</f>
        <v/>
      </c>
      <c r="U18" s="222">
        <f>Maaned!BT20</f>
        <v>16</v>
      </c>
      <c r="V18" s="223" t="str">
        <f>Maaned!BU20</f>
        <v>fr</v>
      </c>
      <c r="W18" s="224" t="str">
        <f>Maaned!BV20</f>
        <v>Normal uge 1</v>
      </c>
      <c r="X18" s="242" t="str">
        <f>IF(Maaned!BX20&lt;&gt;"",Maaned!BX20,"")</f>
        <v/>
      </c>
      <c r="Y18" s="226" t="str">
        <f>Maaned!BW20</f>
        <v/>
      </c>
      <c r="Z18" s="222">
        <f>Maaned!CA20</f>
        <v>16</v>
      </c>
      <c r="AA18" s="223" t="str">
        <f>Maaned!CB20</f>
        <v>sø</v>
      </c>
      <c r="AB18" s="224" t="str">
        <f>Maaned!CC20</f>
        <v>Weekend</v>
      </c>
      <c r="AC18" s="242" t="str">
        <f>IF(Maaned!CE20&lt;&gt;"",Maaned!CE20,"")</f>
        <v/>
      </c>
      <c r="AD18" s="232" t="str">
        <f>Maaned!CD20</f>
        <v/>
      </c>
    </row>
    <row r="19" spans="1:30" ht="23" customHeight="1">
      <c r="A19" s="222">
        <f>Maaned!AR21</f>
        <v>17</v>
      </c>
      <c r="B19" s="223" t="str">
        <f>Maaned!AS21</f>
        <v>fr</v>
      </c>
      <c r="C19" s="224" t="str">
        <f>Maaned!AT21</f>
        <v>Normal uge 1</v>
      </c>
      <c r="D19" s="242" t="str">
        <f>IF(Maaned!AV21&lt;&gt;"",Maaned!AV21,"")</f>
        <v/>
      </c>
      <c r="E19" s="226" t="str">
        <f>Maaned!AU21</f>
        <v/>
      </c>
      <c r="F19" s="222">
        <f>Maaned!AY21</f>
        <v>17</v>
      </c>
      <c r="G19" s="223" t="str">
        <f>Maaned!AZ21</f>
        <v>fr</v>
      </c>
      <c r="H19" s="224" t="str">
        <f>Maaned!BA21</f>
        <v>Normal uge 1</v>
      </c>
      <c r="I19" s="242" t="str">
        <f>IF(Maaned!BC21&lt;&gt;"",Maaned!BC21,"")</f>
        <v/>
      </c>
      <c r="J19" s="226" t="str">
        <f>Maaned!BB21</f>
        <v/>
      </c>
      <c r="K19" s="222">
        <f>Maaned!BF21</f>
        <v>17</v>
      </c>
      <c r="L19" s="223" t="str">
        <f>Maaned!BG21</f>
        <v>ma</v>
      </c>
      <c r="M19" s="224" t="str">
        <f>Maaned!BH21</f>
        <v>Normal uge 1</v>
      </c>
      <c r="N19" s="242" t="str">
        <f>IF(Maaned!BJ21&lt;&gt;"",Maaned!BJ21,"")</f>
        <v/>
      </c>
      <c r="O19" s="232">
        <f>Maaned!BI21</f>
        <v>16.142857142857142</v>
      </c>
      <c r="P19" s="222">
        <f>Maaned!BM21</f>
        <v>17</v>
      </c>
      <c r="Q19" s="223" t="str">
        <f>Maaned!BN21</f>
        <v>on</v>
      </c>
      <c r="R19" s="224" t="str">
        <f>Maaned!BO21</f>
        <v>Normal uge 1</v>
      </c>
      <c r="S19" s="242" t="str">
        <f>IF(Maaned!BQ21&lt;&gt;"",Maaned!BQ21,"")</f>
        <v/>
      </c>
      <c r="T19" s="232" t="str">
        <f>Maaned!BP21</f>
        <v/>
      </c>
      <c r="U19" s="222">
        <f>Maaned!BT21</f>
        <v>17</v>
      </c>
      <c r="V19" s="223" t="str">
        <f>Maaned!BU21</f>
        <v>lø</v>
      </c>
      <c r="W19" s="224" t="str">
        <f>Maaned!BV21</f>
        <v>Weekend</v>
      </c>
      <c r="X19" s="242" t="str">
        <f>IF(Maaned!BX21&lt;&gt;"",Maaned!BX21,"")</f>
        <v/>
      </c>
      <c r="Y19" s="226" t="str">
        <f>Maaned!BW21</f>
        <v/>
      </c>
      <c r="Z19" s="222">
        <f>Maaned!CA21</f>
        <v>17</v>
      </c>
      <c r="AA19" s="223" t="str">
        <f>Maaned!CB21</f>
        <v>ma</v>
      </c>
      <c r="AB19" s="224" t="str">
        <f>Maaned!CC21</f>
        <v>Normal uge 1</v>
      </c>
      <c r="AC19" s="242" t="str">
        <f>IF(Maaned!CE21&lt;&gt;"",Maaned!CE21,"")</f>
        <v/>
      </c>
      <c r="AD19" s="232">
        <f>Maaned!CD21</f>
        <v>29.142857142857142</v>
      </c>
    </row>
    <row r="20" spans="1:30" ht="23" customHeight="1">
      <c r="A20" s="222">
        <f>Maaned!AR22</f>
        <v>18</v>
      </c>
      <c r="B20" s="223" t="str">
        <f>Maaned!AS22</f>
        <v>lø</v>
      </c>
      <c r="C20" s="224" t="str">
        <f>Maaned!AT22</f>
        <v>Weekend</v>
      </c>
      <c r="D20" s="242" t="str">
        <f>IF(Maaned!AV22&lt;&gt;"",Maaned!AV22,"")</f>
        <v/>
      </c>
      <c r="E20" s="226" t="str">
        <f>Maaned!AU22</f>
        <v/>
      </c>
      <c r="F20" s="222">
        <f>Maaned!AY22</f>
        <v>18</v>
      </c>
      <c r="G20" s="223" t="str">
        <f>Maaned!AZ22</f>
        <v>lø</v>
      </c>
      <c r="H20" s="224" t="str">
        <f>Maaned!BA22</f>
        <v>Weekend</v>
      </c>
      <c r="I20" s="242" t="str">
        <f>IF(Maaned!BC22&lt;&gt;"",Maaned!BC22,"")</f>
        <v/>
      </c>
      <c r="J20" s="226" t="str">
        <f>Maaned!BB22</f>
        <v/>
      </c>
      <c r="K20" s="222">
        <f>Maaned!BF22</f>
        <v>18</v>
      </c>
      <c r="L20" s="223" t="str">
        <f>Maaned!BG22</f>
        <v>ti</v>
      </c>
      <c r="M20" s="224" t="str">
        <f>Maaned!BH22</f>
        <v>Normal uge 1</v>
      </c>
      <c r="N20" s="242" t="str">
        <f>IF(Maaned!BJ22&lt;&gt;"",Maaned!BJ22,"")</f>
        <v/>
      </c>
      <c r="O20" s="232" t="str">
        <f>Maaned!BI22</f>
        <v/>
      </c>
      <c r="P20" s="222">
        <f>Maaned!BM22</f>
        <v>18</v>
      </c>
      <c r="Q20" s="223" t="str">
        <f>Maaned!BN22</f>
        <v>to</v>
      </c>
      <c r="R20" s="224" t="str">
        <f>Maaned!BO22</f>
        <v>SH-dag</v>
      </c>
      <c r="S20" s="242" t="str">
        <f>IF(Maaned!BQ22&lt;&gt;"",Maaned!BQ22,"")</f>
        <v>Kristi himmelfartsdag</v>
      </c>
      <c r="T20" s="232" t="str">
        <f>Maaned!BP22</f>
        <v/>
      </c>
      <c r="U20" s="222">
        <f>Maaned!BT22</f>
        <v>18</v>
      </c>
      <c r="V20" s="223" t="str">
        <f>Maaned!BU22</f>
        <v>sø</v>
      </c>
      <c r="W20" s="224" t="str">
        <f>Maaned!BV22</f>
        <v>Weekend</v>
      </c>
      <c r="X20" s="242" t="str">
        <f>IF(Maaned!BX22&lt;&gt;"",Maaned!BX22,"")</f>
        <v/>
      </c>
      <c r="Y20" s="226" t="str">
        <f>Maaned!BW22</f>
        <v/>
      </c>
      <c r="Z20" s="222">
        <f>Maaned!CA22</f>
        <v>18</v>
      </c>
      <c r="AA20" s="223" t="str">
        <f>Maaned!CB22</f>
        <v>ti</v>
      </c>
      <c r="AB20" s="224" t="str">
        <f>Maaned!CC22</f>
        <v>Normal uge 1</v>
      </c>
      <c r="AC20" s="242" t="str">
        <f>IF(Maaned!CE22&lt;&gt;"",Maaned!CE22,"")</f>
        <v/>
      </c>
      <c r="AD20" s="232" t="str">
        <f>Maaned!CD22</f>
        <v/>
      </c>
    </row>
    <row r="21" spans="1:30" ht="23" customHeight="1">
      <c r="A21" s="222">
        <f>Maaned!AR23</f>
        <v>19</v>
      </c>
      <c r="B21" s="223" t="str">
        <f>Maaned!AS23</f>
        <v>sø</v>
      </c>
      <c r="C21" s="224" t="str">
        <f>Maaned!AT23</f>
        <v>Weekend</v>
      </c>
      <c r="D21" s="242" t="str">
        <f>IF(Maaned!AV23&lt;&gt;"",Maaned!AV23,"")</f>
        <v/>
      </c>
      <c r="E21" s="226" t="str">
        <f>Maaned!AU23</f>
        <v/>
      </c>
      <c r="F21" s="222">
        <f>Maaned!AY23</f>
        <v>19</v>
      </c>
      <c r="G21" s="223" t="str">
        <f>Maaned!AZ23</f>
        <v>sø</v>
      </c>
      <c r="H21" s="224" t="str">
        <f>Maaned!BA23</f>
        <v>Weekend</v>
      </c>
      <c r="I21" s="242" t="str">
        <f>IF(Maaned!BC23&lt;&gt;"",Maaned!BC23,"")</f>
        <v/>
      </c>
      <c r="J21" s="226" t="str">
        <f>Maaned!BB23</f>
        <v/>
      </c>
      <c r="K21" s="222">
        <f>Maaned!BF23</f>
        <v>19</v>
      </c>
      <c r="L21" s="223" t="str">
        <f>Maaned!BG23</f>
        <v>on</v>
      </c>
      <c r="M21" s="224" t="str">
        <f>Maaned!BH23</f>
        <v>Normal uge 1</v>
      </c>
      <c r="N21" s="242" t="str">
        <f>IF(Maaned!BJ23&lt;&gt;"",Maaned!BJ23,"")</f>
        <v/>
      </c>
      <c r="O21" s="232" t="str">
        <f>Maaned!BI23</f>
        <v/>
      </c>
      <c r="P21" s="222">
        <f>Maaned!BM23</f>
        <v>19</v>
      </c>
      <c r="Q21" s="223" t="str">
        <f>Maaned!BN23</f>
        <v>fr</v>
      </c>
      <c r="R21" s="224" t="str">
        <f>Maaned!BO23</f>
        <v>Normal uge 1</v>
      </c>
      <c r="S21" s="242" t="str">
        <f>IF(Maaned!BQ23&lt;&gt;"",Maaned!BQ23,"")</f>
        <v/>
      </c>
      <c r="T21" s="232" t="str">
        <f>Maaned!BP23</f>
        <v/>
      </c>
      <c r="U21" s="222">
        <f>Maaned!BT23</f>
        <v>19</v>
      </c>
      <c r="V21" s="223" t="str">
        <f>Maaned!BU23</f>
        <v>ma</v>
      </c>
      <c r="W21" s="224" t="str">
        <f>Maaned!BV23</f>
        <v>Normal uge 1</v>
      </c>
      <c r="X21" s="242" t="str">
        <f>IF(Maaned!BX23&lt;&gt;"",Maaned!BX23,"")</f>
        <v/>
      </c>
      <c r="Y21" s="226">
        <f>Maaned!BW23</f>
        <v>25.142857142857142</v>
      </c>
      <c r="Z21" s="222">
        <f>Maaned!CA23</f>
        <v>19</v>
      </c>
      <c r="AA21" s="223" t="str">
        <f>Maaned!CB23</f>
        <v>on</v>
      </c>
      <c r="AB21" s="224" t="str">
        <f>Maaned!CC23</f>
        <v>Normal uge 1</v>
      </c>
      <c r="AC21" s="242" t="str">
        <f>IF(Maaned!CE23&lt;&gt;"",Maaned!CE23,"")</f>
        <v/>
      </c>
      <c r="AD21" s="232" t="str">
        <f>Maaned!CD23</f>
        <v/>
      </c>
    </row>
    <row r="22" spans="1:30" ht="23" customHeight="1">
      <c r="A22" s="222">
        <f>Maaned!AR24</f>
        <v>20</v>
      </c>
      <c r="B22" s="223" t="str">
        <f>Maaned!AS24</f>
        <v>ma</v>
      </c>
      <c r="C22" s="224" t="str">
        <f>Maaned!AT24</f>
        <v>Normal uge 1</v>
      </c>
      <c r="D22" s="242" t="str">
        <f>IF(Maaned!AV24&lt;&gt;"",Maaned!AV24,"")</f>
        <v/>
      </c>
      <c r="E22" s="226">
        <f>Maaned!AU24</f>
        <v>8.1428571428571423</v>
      </c>
      <c r="F22" s="222">
        <f>Maaned!AY24</f>
        <v>20</v>
      </c>
      <c r="G22" s="223" t="str">
        <f>Maaned!AZ24</f>
        <v>ma</v>
      </c>
      <c r="H22" s="224" t="str">
        <f>Maaned!BA24</f>
        <v>Normal uge 1</v>
      </c>
      <c r="I22" s="242" t="str">
        <f>IF(Maaned!BC24&lt;&gt;"",Maaned!BC24,"")</f>
        <v/>
      </c>
      <c r="J22" s="226">
        <f>Maaned!BB24</f>
        <v>12.142857142857142</v>
      </c>
      <c r="K22" s="222">
        <f>Maaned!BF24</f>
        <v>20</v>
      </c>
      <c r="L22" s="223" t="str">
        <f>Maaned!BG24</f>
        <v>to</v>
      </c>
      <c r="M22" s="224" t="str">
        <f>Maaned!BH24</f>
        <v>Normal uge 1</v>
      </c>
      <c r="N22" s="242" t="str">
        <f>IF(Maaned!BJ24&lt;&gt;"",Maaned!BJ24,"")</f>
        <v/>
      </c>
      <c r="O22" s="232" t="str">
        <f>Maaned!BI24</f>
        <v/>
      </c>
      <c r="P22" s="222">
        <f>Maaned!BM24</f>
        <v>20</v>
      </c>
      <c r="Q22" s="223" t="str">
        <f>Maaned!BN24</f>
        <v>lø</v>
      </c>
      <c r="R22" s="224" t="str">
        <f>Maaned!BO24</f>
        <v>Weekend</v>
      </c>
      <c r="S22" s="242" t="str">
        <f>IF(Maaned!BQ24&lt;&gt;"",Maaned!BQ24,"")</f>
        <v/>
      </c>
      <c r="T22" s="232" t="str">
        <f>Maaned!BP24</f>
        <v/>
      </c>
      <c r="U22" s="222">
        <f>Maaned!BT24</f>
        <v>20</v>
      </c>
      <c r="V22" s="223" t="str">
        <f>Maaned!BU24</f>
        <v>ti</v>
      </c>
      <c r="W22" s="224" t="str">
        <f>Maaned!BV24</f>
        <v>Normal uge 1</v>
      </c>
      <c r="X22" s="242" t="str">
        <f>IF(Maaned!BX24&lt;&gt;"",Maaned!BX24,"")</f>
        <v/>
      </c>
      <c r="Y22" s="226" t="str">
        <f>Maaned!BW24</f>
        <v/>
      </c>
      <c r="Z22" s="222">
        <f>Maaned!CA24</f>
        <v>20</v>
      </c>
      <c r="AA22" s="223" t="str">
        <f>Maaned!CB24</f>
        <v>to</v>
      </c>
      <c r="AB22" s="224" t="str">
        <f>Maaned!CC24</f>
        <v>Normal uge 1</v>
      </c>
      <c r="AC22" s="242" t="str">
        <f>IF(Maaned!CE24&lt;&gt;"",Maaned!CE24,"")</f>
        <v/>
      </c>
      <c r="AD22" s="232" t="str">
        <f>Maaned!CD24</f>
        <v/>
      </c>
    </row>
    <row r="23" spans="1:30" ht="23" customHeight="1">
      <c r="A23" s="222">
        <f>Maaned!AR25</f>
        <v>21</v>
      </c>
      <c r="B23" s="223" t="str">
        <f>Maaned!AS25</f>
        <v>ti</v>
      </c>
      <c r="C23" s="224" t="str">
        <f>Maaned!AT25</f>
        <v>Normal uge 1</v>
      </c>
      <c r="D23" s="242" t="str">
        <f>IF(Maaned!AV25&lt;&gt;"",Maaned!AV25,"")</f>
        <v/>
      </c>
      <c r="E23" s="226" t="str">
        <f>Maaned!AU25</f>
        <v/>
      </c>
      <c r="F23" s="222">
        <f>Maaned!AY25</f>
        <v>21</v>
      </c>
      <c r="G23" s="223" t="str">
        <f>Maaned!AZ25</f>
        <v>ti</v>
      </c>
      <c r="H23" s="224" t="str">
        <f>Maaned!BA25</f>
        <v>Normal uge 1</v>
      </c>
      <c r="I23" s="242" t="str">
        <f>IF(Maaned!BC25&lt;&gt;"",Maaned!BC25,"")</f>
        <v/>
      </c>
      <c r="J23" s="226" t="str">
        <f>Maaned!BB25</f>
        <v/>
      </c>
      <c r="K23" s="222">
        <f>Maaned!BF25</f>
        <v>21</v>
      </c>
      <c r="L23" s="223" t="str">
        <f>Maaned!BG25</f>
        <v>fr</v>
      </c>
      <c r="M23" s="224" t="str">
        <f>Maaned!BH25</f>
        <v>Normal uge 1</v>
      </c>
      <c r="N23" s="242" t="str">
        <f>IF(Maaned!BJ25&lt;&gt;"",Maaned!BJ25,"")</f>
        <v/>
      </c>
      <c r="O23" s="232" t="str">
        <f>Maaned!BI25</f>
        <v/>
      </c>
      <c r="P23" s="222">
        <f>Maaned!BM25</f>
        <v>21</v>
      </c>
      <c r="Q23" s="223" t="str">
        <f>Maaned!BN25</f>
        <v>sø</v>
      </c>
      <c r="R23" s="224" t="str">
        <f>Maaned!BO25</f>
        <v>Weekend</v>
      </c>
      <c r="S23" s="242" t="str">
        <f>IF(Maaned!BQ25&lt;&gt;"",Maaned!BQ25,"")</f>
        <v/>
      </c>
      <c r="T23" s="232" t="str">
        <f>Maaned!BP25</f>
        <v/>
      </c>
      <c r="U23" s="222">
        <f>Maaned!BT25</f>
        <v>21</v>
      </c>
      <c r="V23" s="223" t="str">
        <f>Maaned!BU25</f>
        <v>on</v>
      </c>
      <c r="W23" s="224" t="str">
        <f>Maaned!BV25</f>
        <v>Normal uge 1</v>
      </c>
      <c r="X23" s="242" t="str">
        <f>IF(Maaned!BX25&lt;&gt;"",Maaned!BX25,"")</f>
        <v/>
      </c>
      <c r="Y23" s="226" t="str">
        <f>Maaned!BW25</f>
        <v/>
      </c>
      <c r="Z23" s="222">
        <f>Maaned!CA25</f>
        <v>21</v>
      </c>
      <c r="AA23" s="223" t="str">
        <f>Maaned!CB25</f>
        <v>fr</v>
      </c>
      <c r="AB23" s="224" t="str">
        <f>Maaned!CC25</f>
        <v>Normal uge 1</v>
      </c>
      <c r="AC23" s="242" t="str">
        <f>IF(Maaned!CE25&lt;&gt;"",Maaned!CE25,"")</f>
        <v/>
      </c>
      <c r="AD23" s="232" t="str">
        <f>Maaned!CD25</f>
        <v/>
      </c>
    </row>
    <row r="24" spans="1:30" ht="23" customHeight="1">
      <c r="A24" s="222">
        <f>Maaned!AR26</f>
        <v>22</v>
      </c>
      <c r="B24" s="223" t="str">
        <f>Maaned!AS26</f>
        <v>on</v>
      </c>
      <c r="C24" s="224" t="str">
        <f>Maaned!AT26</f>
        <v>Normal uge 1</v>
      </c>
      <c r="D24" s="242" t="str">
        <f>IF(Maaned!AV26&lt;&gt;"",Maaned!AV26,"")</f>
        <v/>
      </c>
      <c r="E24" s="226" t="str">
        <f>Maaned!AU26</f>
        <v/>
      </c>
      <c r="F24" s="222">
        <f>Maaned!AY26</f>
        <v>22</v>
      </c>
      <c r="G24" s="223" t="str">
        <f>Maaned!AZ26</f>
        <v>on</v>
      </c>
      <c r="H24" s="224" t="str">
        <f>Maaned!BA26</f>
        <v>Normal uge 1</v>
      </c>
      <c r="I24" s="242" t="str">
        <f>IF(Maaned!BC26&lt;&gt;"",Maaned!BC26,"")</f>
        <v/>
      </c>
      <c r="J24" s="226" t="str">
        <f>Maaned!BB26</f>
        <v/>
      </c>
      <c r="K24" s="222">
        <f>Maaned!BF26</f>
        <v>22</v>
      </c>
      <c r="L24" s="223" t="str">
        <f>Maaned!BG26</f>
        <v>lø</v>
      </c>
      <c r="M24" s="224" t="str">
        <f>Maaned!BH26</f>
        <v>Weekend</v>
      </c>
      <c r="N24" s="242" t="str">
        <f>IF(Maaned!BJ26&lt;&gt;"",Maaned!BJ26,"")</f>
        <v/>
      </c>
      <c r="O24" s="232" t="str">
        <f>Maaned!BI26</f>
        <v/>
      </c>
      <c r="P24" s="222">
        <f>Maaned!BM26</f>
        <v>22</v>
      </c>
      <c r="Q24" s="223" t="str">
        <f>Maaned!BN26</f>
        <v>ma</v>
      </c>
      <c r="R24" s="224" t="str">
        <f>Maaned!BO26</f>
        <v>Normal uge 1</v>
      </c>
      <c r="S24" s="242" t="str">
        <f>IF(Maaned!BQ26&lt;&gt;"",Maaned!BQ26,"")</f>
        <v/>
      </c>
      <c r="T24" s="232">
        <f>Maaned!BP26</f>
        <v>21.142857142857142</v>
      </c>
      <c r="U24" s="222">
        <f>Maaned!BT26</f>
        <v>22</v>
      </c>
      <c r="V24" s="223" t="str">
        <f>Maaned!BU26</f>
        <v>to</v>
      </c>
      <c r="W24" s="224" t="str">
        <f>Maaned!BV26</f>
        <v>Normal uge 1</v>
      </c>
      <c r="X24" s="242" t="str">
        <f>IF(Maaned!BX26&lt;&gt;"",Maaned!BX26,"")</f>
        <v/>
      </c>
      <c r="Y24" s="226" t="str">
        <f>Maaned!BW26</f>
        <v/>
      </c>
      <c r="Z24" s="222">
        <f>Maaned!CA26</f>
        <v>22</v>
      </c>
      <c r="AA24" s="223" t="str">
        <f>Maaned!CB26</f>
        <v>lø</v>
      </c>
      <c r="AB24" s="224" t="str">
        <f>Maaned!CC26</f>
        <v>Weekend</v>
      </c>
      <c r="AC24" s="242" t="str">
        <f>IF(Maaned!CE26&lt;&gt;"",Maaned!CE26,"")</f>
        <v/>
      </c>
      <c r="AD24" s="232" t="str">
        <f>Maaned!CD26</f>
        <v/>
      </c>
    </row>
    <row r="25" spans="1:30" ht="23" customHeight="1">
      <c r="A25" s="222">
        <f>Maaned!AR27</f>
        <v>23</v>
      </c>
      <c r="B25" s="223" t="str">
        <f>Maaned!AS27</f>
        <v>to</v>
      </c>
      <c r="C25" s="224" t="str">
        <f>Maaned!AT27</f>
        <v>Normal uge 1</v>
      </c>
      <c r="D25" s="242" t="str">
        <f>IF(Maaned!AV27&lt;&gt;"",Maaned!AV27,"")</f>
        <v/>
      </c>
      <c r="E25" s="226" t="str">
        <f>Maaned!AU27</f>
        <v/>
      </c>
      <c r="F25" s="222">
        <f>Maaned!AY27</f>
        <v>23</v>
      </c>
      <c r="G25" s="223" t="str">
        <f>Maaned!AZ27</f>
        <v>to</v>
      </c>
      <c r="H25" s="224" t="str">
        <f>Maaned!BA27</f>
        <v>Normal uge 1</v>
      </c>
      <c r="I25" s="242" t="str">
        <f>IF(Maaned!BC27&lt;&gt;"",Maaned!BC27,"")</f>
        <v/>
      </c>
      <c r="J25" s="226" t="str">
        <f>Maaned!BB27</f>
        <v/>
      </c>
      <c r="K25" s="222">
        <f>Maaned!BF27</f>
        <v>23</v>
      </c>
      <c r="L25" s="223" t="str">
        <f>Maaned!BG27</f>
        <v>sø</v>
      </c>
      <c r="M25" s="224" t="str">
        <f>Maaned!BH27</f>
        <v>Weekend</v>
      </c>
      <c r="N25" s="242" t="str">
        <f>IF(Maaned!BJ27&lt;&gt;"",Maaned!BJ27,"")</f>
        <v/>
      </c>
      <c r="O25" s="232" t="str">
        <f>Maaned!BI27</f>
        <v/>
      </c>
      <c r="P25" s="222">
        <f>Maaned!BM27</f>
        <v>23</v>
      </c>
      <c r="Q25" s="223" t="str">
        <f>Maaned!BN27</f>
        <v>ti</v>
      </c>
      <c r="R25" s="224" t="str">
        <f>Maaned!BO27</f>
        <v>Normal uge 1</v>
      </c>
      <c r="S25" s="242" t="str">
        <f>IF(Maaned!BQ27&lt;&gt;"",Maaned!BQ27,"")</f>
        <v/>
      </c>
      <c r="T25" s="232" t="str">
        <f>Maaned!BP27</f>
        <v/>
      </c>
      <c r="U25" s="222">
        <f>Maaned!BT27</f>
        <v>23</v>
      </c>
      <c r="V25" s="223" t="str">
        <f>Maaned!BU27</f>
        <v>fr</v>
      </c>
      <c r="W25" s="224" t="str">
        <f>Maaned!BV27</f>
        <v>Normal uge 1</v>
      </c>
      <c r="X25" s="242" t="str">
        <f>IF(Maaned!BX27&lt;&gt;"",Maaned!BX27,"")</f>
        <v/>
      </c>
      <c r="Y25" s="226" t="str">
        <f>Maaned!BW27</f>
        <v/>
      </c>
      <c r="Z25" s="222">
        <f>Maaned!CA27</f>
        <v>23</v>
      </c>
      <c r="AA25" s="223" t="str">
        <f>Maaned!CB27</f>
        <v>sø</v>
      </c>
      <c r="AB25" s="224" t="str">
        <f>Maaned!CC27</f>
        <v>Weekend</v>
      </c>
      <c r="AC25" s="242" t="str">
        <f>IF(Maaned!CE27&lt;&gt;"",Maaned!CE27,"")</f>
        <v/>
      </c>
      <c r="AD25" s="232" t="str">
        <f>Maaned!CD27</f>
        <v/>
      </c>
    </row>
    <row r="26" spans="1:30" ht="23" customHeight="1">
      <c r="A26" s="222">
        <f>Maaned!AR28</f>
        <v>24</v>
      </c>
      <c r="B26" s="223" t="str">
        <f>Maaned!AS28</f>
        <v>fr</v>
      </c>
      <c r="C26" s="224" t="str">
        <f>Maaned!AT28</f>
        <v>Normal uge 1</v>
      </c>
      <c r="D26" s="242" t="str">
        <f>IF(Maaned!AV28&lt;&gt;"",Maaned!AV28,"")</f>
        <v/>
      </c>
      <c r="E26" s="226" t="str">
        <f>Maaned!AU28</f>
        <v/>
      </c>
      <c r="F26" s="222">
        <f>Maaned!AY28</f>
        <v>24</v>
      </c>
      <c r="G26" s="223" t="str">
        <f>Maaned!AZ28</f>
        <v>fr</v>
      </c>
      <c r="H26" s="224" t="str">
        <f>Maaned!BA28</f>
        <v>Normal uge 1</v>
      </c>
      <c r="I26" s="242" t="str">
        <f>IF(Maaned!BC28&lt;&gt;"",Maaned!BC28,"")</f>
        <v/>
      </c>
      <c r="J26" s="226" t="str">
        <f>Maaned!BB28</f>
        <v/>
      </c>
      <c r="K26" s="222">
        <f>Maaned!BF28</f>
        <v>24</v>
      </c>
      <c r="L26" s="223" t="str">
        <f>Maaned!BG28</f>
        <v>ma</v>
      </c>
      <c r="M26" s="224" t="str">
        <f>Maaned!BH28</f>
        <v>Normal uge 1</v>
      </c>
      <c r="N26" s="242" t="str">
        <f>IF(Maaned!BJ28&lt;&gt;"",Maaned!BJ28,"")</f>
        <v/>
      </c>
      <c r="O26" s="232">
        <f>Maaned!BI28</f>
        <v>17.142857142857142</v>
      </c>
      <c r="P26" s="222">
        <f>Maaned!BM28</f>
        <v>24</v>
      </c>
      <c r="Q26" s="223" t="str">
        <f>Maaned!BN28</f>
        <v>on</v>
      </c>
      <c r="R26" s="224" t="str">
        <f>Maaned!BO28</f>
        <v>Normal uge 1</v>
      </c>
      <c r="S26" s="242" t="str">
        <f>IF(Maaned!BQ28&lt;&gt;"",Maaned!BQ28,"")</f>
        <v/>
      </c>
      <c r="T26" s="232" t="str">
        <f>Maaned!BP28</f>
        <v/>
      </c>
      <c r="U26" s="222">
        <f>Maaned!BT28</f>
        <v>24</v>
      </c>
      <c r="V26" s="223" t="str">
        <f>Maaned!BU28</f>
        <v>lø</v>
      </c>
      <c r="W26" s="224" t="str">
        <f>Maaned!BV28</f>
        <v>Weekend</v>
      </c>
      <c r="X26" s="242" t="str">
        <f>IF(Maaned!BX28&lt;&gt;"",Maaned!BX28,"")</f>
        <v/>
      </c>
      <c r="Y26" s="226" t="str">
        <f>Maaned!BW28</f>
        <v/>
      </c>
      <c r="Z26" s="222">
        <f>Maaned!CA28</f>
        <v>24</v>
      </c>
      <c r="AA26" s="223" t="str">
        <f>Maaned!CB28</f>
        <v>ma</v>
      </c>
      <c r="AB26" s="224" t="str">
        <f>Maaned!CC28</f>
        <v>Normal uge 1</v>
      </c>
      <c r="AC26" s="242" t="str">
        <f>IF(Maaned!CE28&lt;&gt;"",Maaned!CE28,"")</f>
        <v/>
      </c>
      <c r="AD26" s="232">
        <f>Maaned!CD28</f>
        <v>30.142857142857142</v>
      </c>
    </row>
    <row r="27" spans="1:30" ht="23" customHeight="1">
      <c r="A27" s="222">
        <f>Maaned!AR29</f>
        <v>25</v>
      </c>
      <c r="B27" s="223" t="str">
        <f>Maaned!AS29</f>
        <v>lø</v>
      </c>
      <c r="C27" s="224" t="str">
        <f>Maaned!AT29</f>
        <v>Weekend</v>
      </c>
      <c r="D27" s="242" t="str">
        <f>IF(Maaned!AV29&lt;&gt;"",Maaned!AV29,"")</f>
        <v/>
      </c>
      <c r="E27" s="226" t="str">
        <f>Maaned!AU29</f>
        <v/>
      </c>
      <c r="F27" s="222">
        <f>Maaned!AY29</f>
        <v>25</v>
      </c>
      <c r="G27" s="223" t="str">
        <f>Maaned!AZ29</f>
        <v>lø</v>
      </c>
      <c r="H27" s="224" t="str">
        <f>Maaned!BA29</f>
        <v>Weekend</v>
      </c>
      <c r="I27" s="242" t="str">
        <f>IF(Maaned!BC29&lt;&gt;"",Maaned!BC29,"")</f>
        <v/>
      </c>
      <c r="J27" s="226" t="str">
        <f>Maaned!BB29</f>
        <v/>
      </c>
      <c r="K27" s="222">
        <f>Maaned!BF29</f>
        <v>25</v>
      </c>
      <c r="L27" s="223" t="str">
        <f>Maaned!BG29</f>
        <v>ti</v>
      </c>
      <c r="M27" s="224" t="str">
        <f>Maaned!BH29</f>
        <v>Normal uge 1</v>
      </c>
      <c r="N27" s="242" t="str">
        <f>IF(Maaned!BJ29&lt;&gt;"",Maaned!BJ29,"")</f>
        <v/>
      </c>
      <c r="O27" s="232" t="str">
        <f>Maaned!BI29</f>
        <v/>
      </c>
      <c r="P27" s="222">
        <f>Maaned!BM29</f>
        <v>25</v>
      </c>
      <c r="Q27" s="223" t="str">
        <f>Maaned!BN29</f>
        <v>to</v>
      </c>
      <c r="R27" s="224" t="str">
        <f>Maaned!BO29</f>
        <v>Normal uge 1</v>
      </c>
      <c r="S27" s="242" t="str">
        <f>IF(Maaned!BQ29&lt;&gt;"",Maaned!BQ29,"")</f>
        <v/>
      </c>
      <c r="T27" s="232" t="str">
        <f>Maaned!BP29</f>
        <v/>
      </c>
      <c r="U27" s="222">
        <f>Maaned!BT29</f>
        <v>25</v>
      </c>
      <c r="V27" s="223" t="str">
        <f>Maaned!BU29</f>
        <v>sø</v>
      </c>
      <c r="W27" s="224" t="str">
        <f>Maaned!BV29</f>
        <v>Weekend</v>
      </c>
      <c r="X27" s="242" t="str">
        <f>IF(Maaned!BX29&lt;&gt;"",Maaned!BX29,"")</f>
        <v/>
      </c>
      <c r="Y27" s="226" t="str">
        <f>Maaned!BW29</f>
        <v/>
      </c>
      <c r="Z27" s="222">
        <f>Maaned!CA29</f>
        <v>25</v>
      </c>
      <c r="AA27" s="223" t="str">
        <f>Maaned!CB29</f>
        <v>ti</v>
      </c>
      <c r="AB27" s="224" t="str">
        <f>Maaned!CC29</f>
        <v>Normal uge 1</v>
      </c>
      <c r="AC27" s="242" t="str">
        <f>IF(Maaned!CE29&lt;&gt;"",Maaned!CE29,"")</f>
        <v/>
      </c>
      <c r="AD27" s="232" t="str">
        <f>Maaned!CD29</f>
        <v/>
      </c>
    </row>
    <row r="28" spans="1:30" ht="23" customHeight="1">
      <c r="A28" s="222">
        <f>Maaned!AR30</f>
        <v>26</v>
      </c>
      <c r="B28" s="223" t="str">
        <f>Maaned!AS30</f>
        <v>sø</v>
      </c>
      <c r="C28" s="224" t="str">
        <f>Maaned!AT30</f>
        <v>Weekend</v>
      </c>
      <c r="D28" s="242" t="str">
        <f>IF(Maaned!AV30&lt;&gt;"",Maaned!AV30,"")</f>
        <v/>
      </c>
      <c r="E28" s="226" t="str">
        <f>Maaned!AU30</f>
        <v/>
      </c>
      <c r="F28" s="222">
        <f>Maaned!AY30</f>
        <v>26</v>
      </c>
      <c r="G28" s="223" t="str">
        <f>Maaned!AZ30</f>
        <v>sø</v>
      </c>
      <c r="H28" s="224" t="str">
        <f>Maaned!BA30</f>
        <v>Weekend</v>
      </c>
      <c r="I28" s="242" t="str">
        <f>IF(Maaned!BC30&lt;&gt;"",Maaned!BC30,"")</f>
        <v/>
      </c>
      <c r="J28" s="226" t="str">
        <f>Maaned!BB30</f>
        <v/>
      </c>
      <c r="K28" s="222">
        <f>Maaned!BF30</f>
        <v>26</v>
      </c>
      <c r="L28" s="223" t="str">
        <f>Maaned!BG30</f>
        <v>on</v>
      </c>
      <c r="M28" s="224" t="str">
        <f>Maaned!BH30</f>
        <v>Normal uge 1</v>
      </c>
      <c r="N28" s="242" t="str">
        <f>IF(Maaned!BJ30&lt;&gt;"",Maaned!BJ30,"")</f>
        <v/>
      </c>
      <c r="O28" s="232" t="str">
        <f>Maaned!BI30</f>
        <v/>
      </c>
      <c r="P28" s="222">
        <f>Maaned!BM30</f>
        <v>26</v>
      </c>
      <c r="Q28" s="223" t="str">
        <f>Maaned!BN30</f>
        <v>fr</v>
      </c>
      <c r="R28" s="224" t="str">
        <f>Maaned!BO30</f>
        <v>Normal uge 1</v>
      </c>
      <c r="S28" s="242" t="str">
        <f>IF(Maaned!BQ30&lt;&gt;"",Maaned!BQ30,"")</f>
        <v/>
      </c>
      <c r="T28" s="232" t="str">
        <f>Maaned!BP30</f>
        <v/>
      </c>
      <c r="U28" s="222">
        <f>Maaned!BT30</f>
        <v>26</v>
      </c>
      <c r="V28" s="223" t="str">
        <f>Maaned!BU30</f>
        <v>ma</v>
      </c>
      <c r="W28" s="224" t="str">
        <f>Maaned!BV30</f>
        <v>Normal uge 1</v>
      </c>
      <c r="X28" s="242" t="str">
        <f>IF(Maaned!BX30&lt;&gt;"",Maaned!BX30,"")</f>
        <v/>
      </c>
      <c r="Y28" s="226">
        <f>Maaned!BW30</f>
        <v>26.142857142857142</v>
      </c>
      <c r="Z28" s="222">
        <f>Maaned!CA30</f>
        <v>26</v>
      </c>
      <c r="AA28" s="223" t="str">
        <f>Maaned!CB30</f>
        <v>on</v>
      </c>
      <c r="AB28" s="224" t="str">
        <f>Maaned!CC30</f>
        <v>Normal uge 1</v>
      </c>
      <c r="AC28" s="242" t="str">
        <f>IF(Maaned!CE30&lt;&gt;"",Maaned!CE30,"")</f>
        <v/>
      </c>
      <c r="AD28" s="232" t="str">
        <f>Maaned!CD30</f>
        <v/>
      </c>
    </row>
    <row r="29" spans="1:30" ht="23" customHeight="1">
      <c r="A29" s="222">
        <f>Maaned!AR31</f>
        <v>27</v>
      </c>
      <c r="B29" s="223" t="str">
        <f>Maaned!AS31</f>
        <v>ma</v>
      </c>
      <c r="C29" s="224" t="str">
        <f>Maaned!AT31</f>
        <v>Normal uge 1</v>
      </c>
      <c r="D29" s="242" t="str">
        <f>IF(Maaned!AV31&lt;&gt;"",Maaned!AV31,"")</f>
        <v/>
      </c>
      <c r="E29" s="226">
        <f>Maaned!AU31</f>
        <v>9.1428571428571423</v>
      </c>
      <c r="F29" s="222">
        <f>Maaned!AY31</f>
        <v>27</v>
      </c>
      <c r="G29" s="223" t="str">
        <f>Maaned!AZ31</f>
        <v>ma</v>
      </c>
      <c r="H29" s="224" t="str">
        <f>Maaned!BA31</f>
        <v>Normal uge 1</v>
      </c>
      <c r="I29" s="242" t="str">
        <f>IF(Maaned!BC31&lt;&gt;"",Maaned!BC31,"")</f>
        <v/>
      </c>
      <c r="J29" s="226">
        <f>Maaned!BB31</f>
        <v>13.142857142857142</v>
      </c>
      <c r="K29" s="222">
        <f>Maaned!BF31</f>
        <v>27</v>
      </c>
      <c r="L29" s="223" t="str">
        <f>Maaned!BG31</f>
        <v>to</v>
      </c>
      <c r="M29" s="224" t="str">
        <f>Maaned!BH31</f>
        <v>Normal uge 1</v>
      </c>
      <c r="N29" s="242" t="str">
        <f>IF(Maaned!BJ31&lt;&gt;"",Maaned!BJ31,"")</f>
        <v/>
      </c>
      <c r="O29" s="232" t="str">
        <f>Maaned!BI31</f>
        <v/>
      </c>
      <c r="P29" s="222">
        <f>Maaned!BM31</f>
        <v>27</v>
      </c>
      <c r="Q29" s="223" t="str">
        <f>Maaned!BN31</f>
        <v>lø</v>
      </c>
      <c r="R29" s="224" t="str">
        <f>Maaned!BO31</f>
        <v>Weekend</v>
      </c>
      <c r="S29" s="242" t="str">
        <f>IF(Maaned!BQ31&lt;&gt;"",Maaned!BQ31,"")</f>
        <v/>
      </c>
      <c r="T29" s="232" t="str">
        <f>Maaned!BP31</f>
        <v/>
      </c>
      <c r="U29" s="222">
        <f>Maaned!BT31</f>
        <v>27</v>
      </c>
      <c r="V29" s="223" t="str">
        <f>Maaned!BU31</f>
        <v>ti</v>
      </c>
      <c r="W29" s="224" t="str">
        <f>Maaned!BV31</f>
        <v>Normal uge 1</v>
      </c>
      <c r="X29" s="242" t="str">
        <f>IF(Maaned!BX31&lt;&gt;"",Maaned!BX31,"")</f>
        <v/>
      </c>
      <c r="Y29" s="226" t="str">
        <f>Maaned!BW31</f>
        <v/>
      </c>
      <c r="Z29" s="222">
        <f>Maaned!CA31</f>
        <v>27</v>
      </c>
      <c r="AA29" s="223" t="str">
        <f>Maaned!CB31</f>
        <v>to</v>
      </c>
      <c r="AB29" s="224" t="str">
        <f>Maaned!CC31</f>
        <v>Normal uge 1</v>
      </c>
      <c r="AC29" s="242" t="str">
        <f>IF(Maaned!CE31&lt;&gt;"",Maaned!CE31,"")</f>
        <v/>
      </c>
      <c r="AD29" s="232" t="str">
        <f>Maaned!CD31</f>
        <v/>
      </c>
    </row>
    <row r="30" spans="1:30" ht="23" customHeight="1">
      <c r="A30" s="400">
        <f>Maaned!AR32</f>
        <v>28</v>
      </c>
      <c r="B30" s="409" t="str">
        <f>Maaned!AS32</f>
        <v>ti</v>
      </c>
      <c r="C30" s="511" t="str">
        <f>Maaned!AT32</f>
        <v>Normal uge 1</v>
      </c>
      <c r="D30" s="512" t="str">
        <f>IF(Maaned!AV32&lt;&gt;"",Maaned!AV32,"")</f>
        <v/>
      </c>
      <c r="E30" s="232" t="str">
        <f>Maaned!AU32</f>
        <v/>
      </c>
      <c r="F30" s="222">
        <f>Maaned!AY32</f>
        <v>28</v>
      </c>
      <c r="G30" s="223" t="str">
        <f>Maaned!AZ32</f>
        <v>ti</v>
      </c>
      <c r="H30" s="224" t="str">
        <f>Maaned!BA32</f>
        <v>Normal uge 1</v>
      </c>
      <c r="I30" s="242" t="str">
        <f>IF(Maaned!BC32&lt;&gt;"",Maaned!BC32,"")</f>
        <v/>
      </c>
      <c r="J30" s="226" t="str">
        <f>Maaned!BB32</f>
        <v/>
      </c>
      <c r="K30" s="222">
        <f>Maaned!BF32</f>
        <v>28</v>
      </c>
      <c r="L30" s="223" t="str">
        <f>Maaned!BG32</f>
        <v>fr</v>
      </c>
      <c r="M30" s="224" t="str">
        <f>Maaned!BH32</f>
        <v>Normal uge 1</v>
      </c>
      <c r="N30" s="242" t="str">
        <f>IF(Maaned!BJ32&lt;&gt;"",Maaned!BJ32,"")</f>
        <v/>
      </c>
      <c r="O30" s="232" t="str">
        <f>Maaned!BI32</f>
        <v/>
      </c>
      <c r="P30" s="222">
        <f>Maaned!BM32</f>
        <v>28</v>
      </c>
      <c r="Q30" s="223" t="str">
        <f>Maaned!BN32</f>
        <v>sø</v>
      </c>
      <c r="R30" s="224" t="str">
        <f>Maaned!BO32</f>
        <v>Weekend</v>
      </c>
      <c r="S30" s="242" t="str">
        <f>IF(Maaned!BQ32&lt;&gt;"",Maaned!BQ32,"")</f>
        <v>Pinsedag</v>
      </c>
      <c r="T30" s="232" t="str">
        <f>Maaned!BP32</f>
        <v/>
      </c>
      <c r="U30" s="222">
        <f>Maaned!BT32</f>
        <v>28</v>
      </c>
      <c r="V30" s="223" t="str">
        <f>Maaned!BU32</f>
        <v>on</v>
      </c>
      <c r="W30" s="224" t="str">
        <f>Maaned!BV32</f>
        <v>Normal uge 1</v>
      </c>
      <c r="X30" s="242" t="str">
        <f>IF(Maaned!BX32&lt;&gt;"",Maaned!BX32,"")</f>
        <v/>
      </c>
      <c r="Y30" s="226" t="str">
        <f>Maaned!BW32</f>
        <v/>
      </c>
      <c r="Z30" s="222">
        <f>Maaned!CA32</f>
        <v>28</v>
      </c>
      <c r="AA30" s="223" t="str">
        <f>Maaned!CB32</f>
        <v>fr</v>
      </c>
      <c r="AB30" s="224" t="str">
        <f>Maaned!CC32</f>
        <v>Normal uge 1</v>
      </c>
      <c r="AC30" s="242" t="str">
        <f>IF(Maaned!CE32&lt;&gt;"",Maaned!CE32,"")</f>
        <v/>
      </c>
      <c r="AD30" s="232" t="str">
        <f>Maaned!CD32</f>
        <v/>
      </c>
    </row>
    <row r="31" spans="1:30" ht="23" customHeight="1">
      <c r="A31" s="564">
        <f>Maaned!AR33</f>
        <v>0</v>
      </c>
      <c r="B31" s="564">
        <f>Maaned!AS33</f>
        <v>0</v>
      </c>
      <c r="C31" s="565">
        <f>Maaned!AT33</f>
        <v>0</v>
      </c>
      <c r="D31" s="566" t="str">
        <f>IF(Maaned!AV33&lt;&gt;"",Maaned!AV33,"")</f>
        <v/>
      </c>
      <c r="E31" s="567">
        <f>Maaned!E33</f>
        <v>35.285714285714285</v>
      </c>
      <c r="F31" s="222">
        <f>Maaned!AY33</f>
        <v>29</v>
      </c>
      <c r="G31" s="223" t="str">
        <f>Maaned!AZ33</f>
        <v>on</v>
      </c>
      <c r="H31" s="224" t="str">
        <f>Maaned!BA33</f>
        <v>Normal uge 1</v>
      </c>
      <c r="I31" s="242" t="str">
        <f>IF(Maaned!BC33&lt;&gt;"",Maaned!BC33,"")</f>
        <v/>
      </c>
      <c r="J31" s="226" t="str">
        <f>Maaned!BB33</f>
        <v/>
      </c>
      <c r="K31" s="222">
        <f>Maaned!BF33</f>
        <v>29</v>
      </c>
      <c r="L31" s="223" t="str">
        <f>Maaned!BG33</f>
        <v>lø</v>
      </c>
      <c r="M31" s="224" t="str">
        <f>Maaned!BH33</f>
        <v>Weekend</v>
      </c>
      <c r="N31" s="242" t="str">
        <f>IF(Maaned!BJ33&lt;&gt;"",Maaned!BJ33,"")</f>
        <v/>
      </c>
      <c r="O31" s="232" t="str">
        <f>Maaned!BI33</f>
        <v/>
      </c>
      <c r="P31" s="222">
        <f>Maaned!BM33</f>
        <v>29</v>
      </c>
      <c r="Q31" s="223" t="str">
        <f>Maaned!BN33</f>
        <v>ma</v>
      </c>
      <c r="R31" s="224" t="str">
        <f>Maaned!BO33</f>
        <v>SH-dag</v>
      </c>
      <c r="S31" s="242" t="str">
        <f>IF(Maaned!BQ33&lt;&gt;"",Maaned!BQ33,"")</f>
        <v>2. Pinsedag</v>
      </c>
      <c r="T31" s="232">
        <f>Maaned!BP33</f>
        <v>22.142857142857142</v>
      </c>
      <c r="U31" s="222">
        <f>Maaned!BT33</f>
        <v>29</v>
      </c>
      <c r="V31" s="223" t="str">
        <f>Maaned!BU33</f>
        <v>to</v>
      </c>
      <c r="W31" s="224" t="str">
        <f>Maaned!BV33</f>
        <v>Normal uge 1</v>
      </c>
      <c r="X31" s="242" t="str">
        <f>IF(Maaned!BX33&lt;&gt;"",Maaned!BX33,"")</f>
        <v/>
      </c>
      <c r="Y31" s="226" t="str">
        <f>Maaned!BW33</f>
        <v/>
      </c>
      <c r="Z31" s="222">
        <f>Maaned!CA33</f>
        <v>29</v>
      </c>
      <c r="AA31" s="223" t="str">
        <f>Maaned!CB33</f>
        <v>lø</v>
      </c>
      <c r="AB31" s="224" t="str">
        <f>Maaned!CC33</f>
        <v>Weekend</v>
      </c>
      <c r="AC31" s="242" t="str">
        <f>IF(Maaned!CE33&lt;&gt;"",Maaned!CE33,"")</f>
        <v/>
      </c>
      <c r="AD31" s="232" t="str">
        <f>Maaned!CD33</f>
        <v/>
      </c>
    </row>
    <row r="32" spans="1:30" ht="23" customHeight="1">
      <c r="A32" s="187"/>
      <c r="B32" s="187"/>
      <c r="C32" s="188"/>
      <c r="D32" s="188"/>
      <c r="E32" s="189"/>
      <c r="F32" s="222">
        <f>Maaned!AY34</f>
        <v>30</v>
      </c>
      <c r="G32" s="223" t="str">
        <f>Maaned!AZ34</f>
        <v>to</v>
      </c>
      <c r="H32" s="224" t="str">
        <f>Maaned!BA34</f>
        <v>Normal uge 1</v>
      </c>
      <c r="I32" s="242" t="str">
        <f>IF(Maaned!BC34&lt;&gt;"",Maaned!BC34,"")</f>
        <v/>
      </c>
      <c r="J32" s="226" t="str">
        <f>Maaned!BB34</f>
        <v/>
      </c>
      <c r="K32" s="243">
        <f>Maaned!BF34</f>
        <v>30</v>
      </c>
      <c r="L32" s="244" t="str">
        <f>Maaned!BG34</f>
        <v>sø</v>
      </c>
      <c r="M32" s="245" t="str">
        <f>Maaned!BH34</f>
        <v>Weekend</v>
      </c>
      <c r="N32" s="246" t="str">
        <f>IF(Maaned!BJ34&lt;&gt;"",Maaned!BJ34,"")</f>
        <v/>
      </c>
      <c r="O32" s="234" t="str">
        <f>Maaned!BI34</f>
        <v/>
      </c>
      <c r="P32" s="222">
        <f>Maaned!BM34</f>
        <v>30</v>
      </c>
      <c r="Q32" s="223" t="str">
        <f>Maaned!BN34</f>
        <v>ti</v>
      </c>
      <c r="R32" s="224" t="str">
        <f>Maaned!BO34</f>
        <v>Normal uge 1</v>
      </c>
      <c r="S32" s="242" t="str">
        <f>IF(Maaned!BQ34&lt;&gt;"",Maaned!BQ34,"")</f>
        <v/>
      </c>
      <c r="T32" s="232" t="str">
        <f>Maaned!BP34</f>
        <v/>
      </c>
      <c r="U32" s="222">
        <f>Maaned!BT34</f>
        <v>30</v>
      </c>
      <c r="V32" s="223" t="str">
        <f>Maaned!BU34</f>
        <v>fr</v>
      </c>
      <c r="W32" s="224" t="str">
        <f>Maaned!BV34</f>
        <v>Normal uge 1</v>
      </c>
      <c r="X32" s="242" t="str">
        <f>IF(Maaned!BX34&lt;&gt;"",Maaned!BX34,"")</f>
        <v/>
      </c>
      <c r="Y32" s="226" t="str">
        <f>Maaned!BW34</f>
        <v/>
      </c>
      <c r="Z32" s="222">
        <f>Maaned!CA34</f>
        <v>30</v>
      </c>
      <c r="AA32" s="223" t="str">
        <f>Maaned!CB34</f>
        <v>sø</v>
      </c>
      <c r="AB32" s="224" t="str">
        <f>Maaned!CC34</f>
        <v>Weekend</v>
      </c>
      <c r="AC32" s="242" t="str">
        <f>IF(Maaned!CE34&lt;&gt;"",Maaned!CE34,"")</f>
        <v/>
      </c>
      <c r="AD32" s="232" t="str">
        <f>Maaned!CD34</f>
        <v/>
      </c>
    </row>
    <row r="33" spans="1:44" ht="23" customHeight="1">
      <c r="A33" s="187"/>
      <c r="B33" s="187"/>
      <c r="C33" s="188"/>
      <c r="D33" s="188"/>
      <c r="E33" s="189"/>
      <c r="F33" s="243">
        <f>Maaned!AY35</f>
        <v>31</v>
      </c>
      <c r="G33" s="244" t="str">
        <f>Maaned!AZ35</f>
        <v>fr</v>
      </c>
      <c r="H33" s="245" t="str">
        <f>Maaned!BA35</f>
        <v>Normal uge 1</v>
      </c>
      <c r="I33" s="246" t="str">
        <f>IF(Maaned!BC35&lt;&gt;"",Maaned!BC35,"")</f>
        <v/>
      </c>
      <c r="J33" s="234" t="str">
        <f>Maaned!BB35</f>
        <v/>
      </c>
      <c r="K33" s="186"/>
      <c r="L33" s="298"/>
      <c r="M33" s="265"/>
      <c r="N33" s="299"/>
      <c r="O33" s="417"/>
      <c r="P33" s="243">
        <f>Maaned!BM35</f>
        <v>31</v>
      </c>
      <c r="Q33" s="244" t="str">
        <f>Maaned!BN35</f>
        <v>on</v>
      </c>
      <c r="R33" s="245" t="str">
        <f>Maaned!BO35</f>
        <v>Normal uge 1</v>
      </c>
      <c r="S33" s="246" t="str">
        <f>IF(Maaned!BQ35&lt;&gt;"",Maaned!BQ35,"")</f>
        <v/>
      </c>
      <c r="T33" s="234" t="str">
        <f>Maaned!BP35</f>
        <v/>
      </c>
      <c r="U33" s="190"/>
      <c r="V33" s="191"/>
      <c r="W33" s="185"/>
      <c r="X33" s="185"/>
      <c r="Y33" s="192"/>
      <c r="Z33" s="243">
        <f>Maaned!CA35</f>
        <v>31</v>
      </c>
      <c r="AA33" s="244" t="str">
        <f>Maaned!CB35</f>
        <v>ma</v>
      </c>
      <c r="AB33" s="245" t="str">
        <f>Maaned!CC35</f>
        <v>Normal uge 1</v>
      </c>
      <c r="AC33" s="246" t="str">
        <f>IF(Maaned!CE35&lt;&gt;"",Maaned!CE35,"")</f>
        <v/>
      </c>
      <c r="AD33" s="234">
        <f>Maaned!CD35</f>
        <v>31.142857142857142</v>
      </c>
    </row>
    <row r="34" spans="1:44" ht="23" customHeight="1">
      <c r="A34" s="194"/>
      <c r="B34" s="194"/>
      <c r="C34" s="194"/>
      <c r="D34" s="194"/>
      <c r="E34" s="194"/>
      <c r="F34" s="235"/>
      <c r="G34" s="235"/>
      <c r="H34" s="235"/>
      <c r="I34" s="235"/>
      <c r="J34" s="235"/>
      <c r="K34" s="194"/>
      <c r="L34" s="194"/>
      <c r="M34" s="194"/>
      <c r="N34" s="194"/>
      <c r="O34" s="194"/>
      <c r="P34" s="235"/>
      <c r="Q34" s="235"/>
      <c r="R34" s="235"/>
      <c r="S34" s="235"/>
      <c r="T34" s="235"/>
      <c r="U34" s="194"/>
      <c r="V34" s="194"/>
      <c r="W34" s="194"/>
      <c r="X34" s="194"/>
      <c r="Y34" s="194"/>
      <c r="Z34" s="235"/>
      <c r="AA34" s="235"/>
      <c r="AB34" s="235"/>
      <c r="AC34" s="235"/>
      <c r="AD34" s="235"/>
    </row>
    <row r="35" spans="1:44" ht="23" customHeight="1">
      <c r="A35" s="194"/>
      <c r="B35" s="194"/>
      <c r="C35" s="194"/>
      <c r="D35" s="194"/>
      <c r="E35" s="194"/>
      <c r="F35" s="235"/>
      <c r="G35" s="235"/>
      <c r="H35" s="235"/>
      <c r="I35" s="235"/>
      <c r="J35" s="235"/>
      <c r="K35" s="194"/>
      <c r="L35" s="194"/>
      <c r="M35" s="194"/>
      <c r="N35" s="194"/>
      <c r="O35" s="194"/>
      <c r="P35" s="235"/>
      <c r="Q35" s="235"/>
      <c r="R35" s="235"/>
      <c r="S35" s="235"/>
      <c r="T35" s="235"/>
      <c r="U35" s="194"/>
      <c r="V35" s="194"/>
      <c r="W35" s="194"/>
      <c r="X35" s="194"/>
      <c r="Y35" s="194"/>
      <c r="Z35" s="235"/>
      <c r="AA35" s="235"/>
      <c r="AB35" s="235"/>
      <c r="AC35" s="235"/>
      <c r="AD35" s="235"/>
    </row>
    <row r="36" spans="1:44" s="184" customFormat="1" ht="24" customHeight="1">
      <c r="A36" s="195" t="s">
        <v>77</v>
      </c>
      <c r="B36" s="196"/>
      <c r="C36" s="196"/>
      <c r="D36" s="197"/>
      <c r="E36" s="420">
        <f>Maaned!CJ35</f>
        <v>365</v>
      </c>
      <c r="F36" s="294"/>
      <c r="G36" s="360" t="s">
        <v>97</v>
      </c>
      <c r="H36" s="361"/>
      <c r="I36" s="361"/>
      <c r="J36" s="361"/>
      <c r="K36" s="364">
        <f>Maaned!CJ19</f>
        <v>0</v>
      </c>
      <c r="L36" s="296"/>
      <c r="M36" s="375" t="s">
        <v>100</v>
      </c>
      <c r="N36" s="376"/>
      <c r="O36" s="379">
        <f>Maaned!CJ22</f>
        <v>0</v>
      </c>
      <c r="P36" s="200"/>
      <c r="Q36" s="381" t="s">
        <v>81</v>
      </c>
      <c r="R36" s="382"/>
      <c r="S36" s="382"/>
      <c r="T36" s="384">
        <f>Maaned!CJ29</f>
        <v>0</v>
      </c>
      <c r="U36" s="294"/>
      <c r="V36" s="334" t="s">
        <v>101</v>
      </c>
      <c r="W36" s="335"/>
      <c r="X36" s="335"/>
      <c r="Y36" s="337">
        <f>Maaned!CJ32</f>
        <v>0</v>
      </c>
      <c r="Z36" s="229"/>
      <c r="AD36" s="229"/>
      <c r="AH36" s="229"/>
    </row>
    <row r="37" spans="1:44" s="184" customFormat="1" ht="12">
      <c r="E37" s="229"/>
      <c r="F37" s="229"/>
      <c r="L37" s="229"/>
      <c r="U37" s="229"/>
      <c r="Z37" s="229"/>
      <c r="AD37" s="229"/>
      <c r="AH37" s="229"/>
    </row>
    <row r="38" spans="1:44" s="184" customFormat="1" ht="24" customHeight="1">
      <c r="A38" s="204" t="str">
        <f>'1.halvaar'!A37</f>
        <v>Normaluge 1 i alt</v>
      </c>
      <c r="B38" s="205"/>
      <c r="C38" s="205"/>
      <c r="D38" s="206"/>
      <c r="E38" s="421">
        <f>Maaned!CJ17</f>
        <v>254</v>
      </c>
      <c r="F38" s="229"/>
      <c r="G38" s="365" t="s">
        <v>98</v>
      </c>
      <c r="H38" s="366"/>
      <c r="I38" s="366"/>
      <c r="J38" s="366"/>
      <c r="K38" s="369">
        <f>Maaned!CJ20</f>
        <v>0</v>
      </c>
      <c r="L38" s="229"/>
      <c r="M38" s="346" t="s">
        <v>78</v>
      </c>
      <c r="N38" s="347"/>
      <c r="O38" s="350">
        <f>Maaned!CJ27</f>
        <v>0</v>
      </c>
      <c r="Q38" s="201" t="s">
        <v>62</v>
      </c>
      <c r="R38" s="202"/>
      <c r="S38" s="202"/>
      <c r="T38" s="419">
        <f>Maaned!CJ30</f>
        <v>104</v>
      </c>
      <c r="U38" s="229"/>
      <c r="V38" s="338" t="s">
        <v>102</v>
      </c>
      <c r="W38" s="339"/>
      <c r="X38" s="339"/>
      <c r="Y38" s="342">
        <f>Maaned!CJ33</f>
        <v>0</v>
      </c>
      <c r="Z38" s="229"/>
      <c r="AD38" s="229"/>
      <c r="AH38" s="229"/>
    </row>
    <row r="39" spans="1:44" s="184" customFormat="1" ht="12">
      <c r="E39" s="229"/>
      <c r="F39" s="229"/>
      <c r="L39" s="229"/>
      <c r="U39" s="229"/>
      <c r="Z39" s="229"/>
      <c r="AD39" s="229"/>
      <c r="AH39" s="229"/>
    </row>
    <row r="40" spans="1:44" s="184" customFormat="1" ht="23" customHeight="1">
      <c r="A40" s="355" t="str">
        <f>'1.halvaar'!A39</f>
        <v>Normaluge 2 i alt</v>
      </c>
      <c r="B40" s="356"/>
      <c r="C40" s="356"/>
      <c r="D40" s="357"/>
      <c r="E40" s="422">
        <f>Maaned!CJ18</f>
        <v>0</v>
      </c>
      <c r="F40" s="229"/>
      <c r="G40" s="370" t="s">
        <v>99</v>
      </c>
      <c r="H40" s="371"/>
      <c r="I40" s="371"/>
      <c r="J40" s="371"/>
      <c r="K40" s="374">
        <f>Maaned!CJ21</f>
        <v>0</v>
      </c>
      <c r="L40" s="229"/>
      <c r="M40" s="351" t="s">
        <v>66</v>
      </c>
      <c r="N40" s="352"/>
      <c r="O40" s="354">
        <f>Maaned!CJ28</f>
        <v>0</v>
      </c>
      <c r="Q40" s="386" t="s">
        <v>57</v>
      </c>
      <c r="R40" s="387"/>
      <c r="S40" s="387"/>
      <c r="T40" s="390">
        <f>Maaned!CJ31</f>
        <v>7</v>
      </c>
      <c r="U40" s="229"/>
      <c r="V40" s="195" t="s">
        <v>103</v>
      </c>
      <c r="W40" s="196"/>
      <c r="X40" s="196"/>
      <c r="Y40" s="418">
        <f>Maaned!CJ34</f>
        <v>0</v>
      </c>
      <c r="Z40" s="229"/>
      <c r="AD40" s="229"/>
      <c r="AH40" s="229"/>
    </row>
    <row r="41" spans="1:44" s="184" customFormat="1" ht="12">
      <c r="F41" s="229"/>
      <c r="L41" s="229"/>
      <c r="P41" s="229"/>
      <c r="AB41" s="229"/>
      <c r="AF41" s="229"/>
      <c r="AJ41" s="229"/>
      <c r="AN41" s="229"/>
      <c r="AR41" s="229"/>
    </row>
    <row r="42" spans="1:44" s="184" customFormat="1" ht="16">
      <c r="A42" s="204" t="str">
        <f>Maaned!CI38</f>
        <v>Norm. 1 Tirsdag</v>
      </c>
      <c r="B42" s="205"/>
      <c r="C42" s="205"/>
      <c r="D42" s="206"/>
      <c r="E42" s="415">
        <f>Maaned!CJ37</f>
        <v>50</v>
      </c>
      <c r="F42" s="229"/>
      <c r="G42" s="343" t="str">
        <f>Maaned!CI44</f>
        <v>Norm. 2 Tirsdag</v>
      </c>
      <c r="H42" s="344"/>
      <c r="I42" s="344"/>
      <c r="J42" s="344"/>
      <c r="K42" s="345">
        <f>Maaned!CJ43</f>
        <v>0</v>
      </c>
      <c r="L42" s="229"/>
      <c r="P42" s="229"/>
      <c r="AB42" s="229"/>
      <c r="AF42" s="229"/>
      <c r="AJ42" s="229"/>
      <c r="AN42" s="229"/>
      <c r="AR42" s="229"/>
    </row>
    <row r="43" spans="1:44" s="184" customFormat="1" ht="16">
      <c r="A43" s="204" t="str">
        <f>Maaned!CI39</f>
        <v>Norm. 1 Onsdag</v>
      </c>
      <c r="B43" s="205"/>
      <c r="C43" s="205"/>
      <c r="D43" s="206"/>
      <c r="E43" s="415">
        <f>Maaned!CJ38</f>
        <v>52</v>
      </c>
      <c r="F43" s="229"/>
      <c r="G43" s="343" t="str">
        <f>Maaned!CI45</f>
        <v>Norm. 2 Onsdag</v>
      </c>
      <c r="H43" s="344"/>
      <c r="I43" s="344"/>
      <c r="J43" s="344"/>
      <c r="K43" s="345">
        <f>Maaned!CJ44</f>
        <v>0</v>
      </c>
      <c r="L43" s="229"/>
      <c r="P43" s="229"/>
      <c r="AB43" s="229"/>
      <c r="AF43" s="229"/>
      <c r="AJ43" s="229"/>
      <c r="AN43" s="229"/>
      <c r="AR43" s="229"/>
    </row>
    <row r="44" spans="1:44" s="184" customFormat="1" ht="16">
      <c r="A44" s="204" t="str">
        <f>Maaned!CI40</f>
        <v>Norm. 1 Torsdag</v>
      </c>
      <c r="B44" s="205"/>
      <c r="C44" s="205"/>
      <c r="D44" s="206"/>
      <c r="E44" s="415">
        <f>Maaned!CJ39</f>
        <v>52</v>
      </c>
      <c r="F44" s="229"/>
      <c r="G44" s="343" t="str">
        <f>Maaned!CI46</f>
        <v>Norm. 2 Torsdag</v>
      </c>
      <c r="H44" s="344"/>
      <c r="I44" s="344"/>
      <c r="J44" s="344"/>
      <c r="K44" s="345">
        <f>Maaned!CJ45</f>
        <v>0</v>
      </c>
      <c r="L44" s="229"/>
      <c r="P44" s="229"/>
      <c r="AB44" s="229"/>
      <c r="AF44" s="229"/>
      <c r="AJ44" s="229"/>
      <c r="AN44" s="229"/>
      <c r="AR44" s="229"/>
    </row>
    <row r="45" spans="1:44" s="184" customFormat="1" ht="16">
      <c r="A45" s="394" t="str">
        <f>Maaned!CI41</f>
        <v>Norm. 1 Fredag</v>
      </c>
      <c r="E45" s="423">
        <f>Maaned!CJ40</f>
        <v>50</v>
      </c>
      <c r="F45" s="229"/>
      <c r="G45" s="343" t="str">
        <f>Maaned!CI47</f>
        <v>Norm. 2 Fredag</v>
      </c>
      <c r="H45" s="344"/>
      <c r="I45" s="344"/>
      <c r="J45" s="344"/>
      <c r="K45" s="345">
        <f>Maaned!CJ46</f>
        <v>0</v>
      </c>
      <c r="L45" s="229"/>
      <c r="P45" s="229"/>
      <c r="AB45" s="229"/>
      <c r="AF45" s="229"/>
      <c r="AJ45" s="229"/>
      <c r="AN45" s="229"/>
      <c r="AR45" s="229"/>
    </row>
    <row r="46" spans="1:44" s="184" customFormat="1" ht="16">
      <c r="A46" s="204" t="e">
        <f>Maaned!#REF!</f>
        <v>#REF!</v>
      </c>
      <c r="B46" s="396"/>
      <c r="C46" s="396"/>
      <c r="D46" s="396"/>
      <c r="E46" s="415">
        <f>Maaned!CJ41</f>
        <v>50</v>
      </c>
      <c r="F46" s="229"/>
      <c r="G46" s="343" t="e">
        <f>Maaned!#REF!</f>
        <v>#REF!</v>
      </c>
      <c r="H46" s="344"/>
      <c r="I46" s="344"/>
      <c r="J46" s="344"/>
      <c r="K46" s="345">
        <f>Maaned!CJ47</f>
        <v>0</v>
      </c>
      <c r="L46" s="229"/>
      <c r="P46" s="229"/>
      <c r="AB46" s="229"/>
      <c r="AF46" s="229"/>
      <c r="AJ46" s="229"/>
      <c r="AN46" s="229"/>
      <c r="AR46" s="229"/>
    </row>
  </sheetData>
  <sheetProtection sheet="1" objects="1" scenarios="1" formatCells="0" formatColumns="0" formatRows="0" insertColumns="0"/>
  <dataValidations count="1">
    <dataValidation type="list" allowBlank="1" showInputMessage="1" sqref="C31" xr:uid="{00000000-0002-0000-0400-000000000000}">
      <formula1>$A$31:$A$48</formula1>
    </dataValidation>
  </dataValidations>
  <printOptions horizontalCentered="1" verticalCentered="1"/>
  <pageMargins left="0.35433070866141736" right="0.35433070866141736" top="0.39370078740157483" bottom="0.39370078740157483" header="0.19685039370078741" footer="0.11811023622047245"/>
  <pageSetup scale="36" orientation="portrait" horizontalDpi="4294967292" verticalDpi="4294967292"/>
  <ignoredErrors>
    <ignoredError sqref="C3:AD33" unlockedFormula="1"/>
  </ignoredErrors>
  <extLst>
    <ext xmlns:x14="http://schemas.microsoft.com/office/spreadsheetml/2009/9/main" uri="{78C0D931-6437-407d-A8EE-F0AAD7539E65}">
      <x14:conditionalFormattings>
        <x14:conditionalFormatting xmlns:xm="http://schemas.microsoft.com/office/excel/2006/main">
          <x14:cfRule type="expression" priority="152" id="{BFFB0337-6C0C-8F4E-84D8-7F1CDDDB7E82}">
            <xm:f>OR(Maaned!$AT5="Normal uge 1")</xm:f>
            <x14:dxf>
              <font>
                <color theme="1"/>
              </font>
              <fill>
                <patternFill>
                  <bgColor theme="0"/>
                </patternFill>
              </fill>
            </x14:dxf>
          </x14:cfRule>
          <x14:cfRule type="expression" priority="156" id="{A90CB301-6066-1C4E-BE85-7E237D2BFC45}">
            <xm:f>OR(Maaned!$AT5="koloni")</xm:f>
            <x14:dxf>
              <font>
                <color theme="1"/>
              </font>
              <fill>
                <patternFill>
                  <bgColor theme="7" tint="0.79998168889431442"/>
                </patternFill>
              </fill>
            </x14:dxf>
          </x14:cfRule>
          <x14:cfRule type="expression" priority="157" id="{0DF501BD-7D6F-E744-93DD-2BB69AFB209F}">
            <xm:f>OR(Maaned!$AT5="Pæd.dag")</xm:f>
            <x14:dxf>
              <font>
                <color theme="1"/>
              </font>
              <fill>
                <patternFill>
                  <bgColor rgb="FFFFC000"/>
                </patternFill>
              </fill>
            </x14:dxf>
          </x14:cfRule>
          <x14:cfRule type="expression" priority="158" id="{45E8908E-8074-5541-B1C2-17792C19D617}">
            <xm:f>OR(Maaned!$AT5="Feriedag")</xm:f>
            <x14:dxf>
              <font>
                <color theme="1"/>
              </font>
              <fill>
                <patternFill>
                  <bgColor theme="9" tint="0.39994506668294322"/>
                </patternFill>
              </fill>
            </x14:dxf>
          </x14:cfRule>
          <x14:cfRule type="expression" priority="159" id="{00870D8B-028A-2143-B996-AE3E55B27008}">
            <xm:f>OR(Maaned!$AT5="Nul-dag")</xm:f>
            <x14:dxf>
              <font>
                <color theme="1"/>
              </font>
              <fill>
                <patternFill>
                  <bgColor theme="9" tint="0.79998168889431442"/>
                </patternFill>
              </fill>
            </x14:dxf>
          </x14:cfRule>
          <x14:cfRule type="expression" priority="160" id="{8EE6A7A9-DC8F-B04C-9DF4-68B9695EDC17}">
            <xm:f>OR(Maaned!$AT5="weekend")</xm:f>
            <x14:dxf>
              <font>
                <color theme="1"/>
              </font>
              <fill>
                <patternFill>
                  <bgColor theme="0" tint="-0.14996795556505021"/>
                </patternFill>
              </fill>
            </x14:dxf>
          </x14:cfRule>
          <xm:sqref>A3:E31</xm:sqref>
        </x14:conditionalFormatting>
        <x14:conditionalFormatting xmlns:xm="http://schemas.microsoft.com/office/excel/2006/main">
          <x14:cfRule type="expression" priority="161" stopIfTrue="1" id="{96F9FEDA-A6D3-2649-8088-D44281FD95C3}">
            <xm:f>OR(Maaned!$AT5="Ikke relevant")</xm:f>
            <x14:dxf>
              <font>
                <color theme="0"/>
              </font>
              <fill>
                <patternFill patternType="solid">
                  <bgColor theme="1"/>
                </patternFill>
              </fill>
            </x14:dxf>
          </x14:cfRule>
          <xm:sqref>A3:E31</xm:sqref>
        </x14:conditionalFormatting>
        <x14:conditionalFormatting xmlns:xm="http://schemas.microsoft.com/office/excel/2006/main">
          <x14:cfRule type="expression" priority="155" id="{F52E2C1E-19F6-AE46-9335-78AAA5B80A44}">
            <xm:f>OR(Maaned!$AT5="ekskursion")</xm:f>
            <x14:dxf>
              <font>
                <color theme="1"/>
              </font>
              <fill>
                <patternFill>
                  <bgColor theme="7" tint="0.59996337778862885"/>
                </patternFill>
              </fill>
            </x14:dxf>
          </x14:cfRule>
          <xm:sqref>A3:E31</xm:sqref>
        </x14:conditionalFormatting>
        <x14:conditionalFormatting xmlns:xm="http://schemas.microsoft.com/office/excel/2006/main">
          <x14:cfRule type="expression" priority="153" id="{3C3FE4B1-D9F2-1F4C-AD54-D260302CD590}">
            <xm:f>OR(Maaned!$AT5="Normal uge 2")</xm:f>
            <x14:dxf>
              <font>
                <color theme="1"/>
              </font>
              <fill>
                <patternFill>
                  <bgColor theme="4" tint="0.79998168889431442"/>
                </patternFill>
              </fill>
            </x14:dxf>
          </x14:cfRule>
          <x14:cfRule type="expression" priority="154" id="{ECDDDAF6-6BE4-6142-AAEF-2AA43BAD28C2}">
            <xm:f>OR(Maaned!$AT5="SH-dag")</xm:f>
            <x14:dxf>
              <font>
                <color theme="1"/>
              </font>
              <fill>
                <patternFill>
                  <bgColor rgb="FFFF2F82"/>
                </patternFill>
              </fill>
            </x14:dxf>
          </x14:cfRule>
          <xm:sqref>A3:E31</xm:sqref>
        </x14:conditionalFormatting>
        <x14:conditionalFormatting xmlns:xm="http://schemas.microsoft.com/office/excel/2006/main">
          <x14:cfRule type="expression" priority="17" id="{97854484-C1B4-7749-B391-CF9E25A59500}">
            <xm:f>OR(Maaned!$BA5="Rul 4")</xm:f>
            <x14:dxf>
              <font>
                <color theme="1"/>
              </font>
              <fill>
                <patternFill>
                  <bgColor theme="5" tint="-0.24994659260841701"/>
                </patternFill>
              </fill>
            </x14:dxf>
          </x14:cfRule>
          <x14:cfRule type="expression" priority="18" id="{8E05EDFF-B723-A74C-AB04-324E085E3907}">
            <xm:f>OR(Maaned!$BA5="Rul 3")</xm:f>
            <x14:dxf>
              <font>
                <color theme="1"/>
              </font>
              <fill>
                <patternFill>
                  <bgColor theme="5" tint="0.39994506668294322"/>
                </patternFill>
              </fill>
            </x14:dxf>
          </x14:cfRule>
          <x14:cfRule type="expression" priority="19" id="{561B425A-1140-2643-9467-B31E4451EB4B}">
            <xm:f>OR(Maaned!$BA5="Rul 2")</xm:f>
            <x14:dxf>
              <font>
                <color theme="1"/>
              </font>
              <fill>
                <patternFill>
                  <bgColor theme="5" tint="0.59996337778862885"/>
                </patternFill>
              </fill>
            </x14:dxf>
          </x14:cfRule>
          <x14:cfRule type="expression" priority="20" id="{0F1A610D-1392-884D-A544-5E131BEC8ED8}">
            <xm:f>OR(Maaned!$BA5="Rul 1")</xm:f>
            <x14:dxf>
              <font>
                <color theme="1"/>
              </font>
              <fill>
                <patternFill>
                  <bgColor theme="5" tint="0.79998168889431442"/>
                </patternFill>
              </fill>
            </x14:dxf>
          </x14:cfRule>
          <x14:cfRule type="expression" priority="82" id="{875BC885-279B-E544-8CE4-40A4CD9EDD0C}">
            <xm:f>OR(Maaned!$BA5="Weekend")</xm:f>
            <x14:dxf>
              <font>
                <color theme="1"/>
              </font>
              <fill>
                <patternFill>
                  <bgColor theme="0" tint="-0.14996795556505021"/>
                </patternFill>
              </fill>
            </x14:dxf>
          </x14:cfRule>
          <x14:cfRule type="expression" priority="83" id="{4B91CE28-51DF-6445-BD46-65B187DD4B8B}">
            <xm:f>OR(Maaned!$BA5="Særlig uge 4")</xm:f>
            <x14:dxf>
              <font>
                <color theme="1"/>
              </font>
              <fill>
                <patternFill>
                  <bgColor rgb="FF7030A0"/>
                </patternFill>
              </fill>
            </x14:dxf>
          </x14:cfRule>
          <x14:cfRule type="expression" priority="84" id="{3564F8DC-9EFC-C947-AC3D-33C9F85A4C95}">
            <xm:f>OR(Maaned!$BA5="Særlig uge 3")</xm:f>
            <x14:dxf>
              <font>
                <color theme="1"/>
              </font>
              <fill>
                <patternFill>
                  <bgColor rgb="FF7A81FF"/>
                </patternFill>
              </fill>
            </x14:dxf>
          </x14:cfRule>
          <x14:cfRule type="expression" priority="85" id="{2A82FC2A-BB61-994B-BB16-BCE23AC4A3BE}">
            <xm:f>OR(Maaned!$BA5="Særlig uge 2")</xm:f>
            <x14:dxf>
              <font>
                <color theme="1"/>
              </font>
              <fill>
                <patternFill>
                  <bgColor rgb="FFE6DFFF"/>
                </patternFill>
              </fill>
            </x14:dxf>
          </x14:cfRule>
          <x14:cfRule type="expression" priority="86" id="{FE4F0E9F-CBCA-1D4E-A516-02AD26453A4B}">
            <xm:f>OR(Maaned!$BA5="Særlig uge 1")</xm:f>
            <x14:dxf>
              <font>
                <color theme="1"/>
              </font>
              <fill>
                <patternFill>
                  <bgColor rgb="FFD883FF"/>
                </patternFill>
              </fill>
            </x14:dxf>
          </x14:cfRule>
          <x14:cfRule type="expression" priority="87" id="{2B3DF5F5-F16E-CA43-86D2-65CBC782B239}">
            <xm:f>OR(Maaned!$BA5="Normal uge 1")</xm:f>
            <x14:dxf>
              <font>
                <color theme="1"/>
              </font>
              <fill>
                <patternFill>
                  <bgColor theme="0"/>
                </patternFill>
              </fill>
            </x14:dxf>
          </x14:cfRule>
          <x14:cfRule type="expression" priority="88" id="{2990941C-86DE-A347-B3B5-B33A2E01B9F8}">
            <xm:f>OR(Maaned!$BA5="Normal uge 2")</xm:f>
            <x14:dxf>
              <font>
                <color theme="1"/>
              </font>
              <fill>
                <patternFill>
                  <bgColor theme="4" tint="0.79998168889431442"/>
                </patternFill>
              </fill>
            </x14:dxf>
          </x14:cfRule>
          <x14:cfRule type="expression" priority="89" id="{1FC9C68A-E927-3B49-9D87-EFCBBC4E3180}">
            <xm:f>OR(Maaned!$BA5="SH-dag")</xm:f>
            <x14:dxf>
              <font>
                <color theme="1"/>
              </font>
              <fill>
                <patternFill>
                  <bgColor rgb="FFFF2F82"/>
                </patternFill>
              </fill>
            </x14:dxf>
          </x14:cfRule>
          <x14:cfRule type="expression" priority="90" id="{A563BD55-CBAC-D341-AAA8-3495ECAF5B3A}">
            <xm:f>OR(Maaned!$BA5="ekskursion")</xm:f>
            <x14:dxf>
              <font>
                <color theme="1"/>
              </font>
              <fill>
                <patternFill>
                  <bgColor theme="7" tint="0.59996337778862885"/>
                </patternFill>
              </fill>
            </x14:dxf>
          </x14:cfRule>
          <x14:cfRule type="expression" priority="91" id="{26AB5BBB-709E-1547-AB67-8D310862DEB3}">
            <xm:f>OR(Maaned!$BA5="koloni")</xm:f>
            <x14:dxf>
              <font>
                <color theme="1"/>
              </font>
              <fill>
                <patternFill>
                  <bgColor theme="7" tint="0.79998168889431442"/>
                </patternFill>
              </fill>
            </x14:dxf>
          </x14:cfRule>
          <x14:cfRule type="expression" priority="92" id="{A55E6388-24A3-DF44-92F4-5F0E16446647}">
            <xm:f>OR(Maaned!$BA5="Pæd.dag")</xm:f>
            <x14:dxf>
              <font>
                <color theme="1"/>
              </font>
              <fill>
                <patternFill>
                  <bgColor rgb="FFFFC000"/>
                </patternFill>
              </fill>
            </x14:dxf>
          </x14:cfRule>
          <x14:cfRule type="expression" priority="93" id="{D5F30EE5-D358-3740-B67D-479721AB1F2D}">
            <xm:f>OR(Maaned!$BA5="Feriedag")</xm:f>
            <x14:dxf>
              <font>
                <color theme="1"/>
              </font>
              <fill>
                <patternFill>
                  <bgColor theme="9" tint="0.39994506668294322"/>
                </patternFill>
              </fill>
            </x14:dxf>
          </x14:cfRule>
          <x14:cfRule type="expression" priority="94" id="{8CA9C9EA-A630-C04C-A9FB-F51B2219516D}">
            <xm:f>OR(Maaned!$BA5="Nul-dag")</xm:f>
            <x14:dxf>
              <font>
                <color theme="1"/>
              </font>
              <fill>
                <patternFill>
                  <bgColor theme="9" tint="0.79998168889431442"/>
                </patternFill>
              </fill>
            </x14:dxf>
          </x14:cfRule>
          <x14:cfRule type="expression" priority="96" stopIfTrue="1" id="{0CC8807F-AA1A-A54A-8C25-0AEF928B9889}">
            <xm:f>OR(Maaned!$BA5="Ikke relevant")</xm:f>
            <x14:dxf>
              <font>
                <color theme="0"/>
              </font>
              <fill>
                <patternFill patternType="solid">
                  <bgColor theme="1"/>
                </patternFill>
              </fill>
            </x14:dxf>
          </x14:cfRule>
          <x14:cfRule type="expression" priority="112" id="{FB8947D5-C912-7742-B870-38592B666817}">
            <xm:f>OR(Maaned!$BA5="pæd.dag")</xm:f>
            <x14:dxf>
              <font>
                <color theme="1"/>
              </font>
              <fill>
                <patternFill>
                  <bgColor theme="7" tint="0.39994506668294322"/>
                </patternFill>
              </fill>
            </x14:dxf>
          </x14:cfRule>
          <xm:sqref>F3:J33</xm:sqref>
        </x14:conditionalFormatting>
        <x14:conditionalFormatting xmlns:xm="http://schemas.microsoft.com/office/excel/2006/main">
          <x14:cfRule type="expression" priority="13" id="{973D9608-C646-294C-9CD5-E478097781C2}">
            <xm:f>OR(Maaned!$BH5="Rul 4")</xm:f>
            <x14:dxf>
              <font>
                <color theme="1"/>
              </font>
              <fill>
                <patternFill>
                  <bgColor theme="5" tint="-0.24994659260841701"/>
                </patternFill>
              </fill>
            </x14:dxf>
          </x14:cfRule>
          <x14:cfRule type="expression" priority="14" id="{8B14D01F-F2F4-BA48-8711-A45208FC385D}">
            <xm:f>OR(Maaned!$BH5="Rul 3")</xm:f>
            <x14:dxf>
              <font>
                <color theme="1"/>
              </font>
              <fill>
                <patternFill>
                  <bgColor theme="5" tint="0.39994506668294322"/>
                </patternFill>
              </fill>
            </x14:dxf>
          </x14:cfRule>
          <x14:cfRule type="expression" priority="15" id="{DB65AE98-A442-F546-BF42-8CEDBAF788AA}">
            <xm:f>OR(Maaned!$BH5="Rul 2")</xm:f>
            <x14:dxf>
              <font>
                <color theme="1"/>
              </font>
              <fill>
                <patternFill>
                  <bgColor theme="5" tint="0.59996337778862885"/>
                </patternFill>
              </fill>
            </x14:dxf>
          </x14:cfRule>
          <x14:cfRule type="expression" priority="16" id="{7E07D2F3-10FE-8647-A1A3-03F0389A625D}">
            <xm:f>OR(Maaned!$BH5="Rul 1")</xm:f>
            <x14:dxf>
              <font>
                <color theme="1"/>
              </font>
              <fill>
                <patternFill>
                  <bgColor theme="5" tint="0.79998168889431442"/>
                </patternFill>
              </fill>
            </x14:dxf>
          </x14:cfRule>
          <x14:cfRule type="expression" priority="67" id="{0F41D1F6-1FFF-DC4C-9889-EE25D473E5DB}">
            <xm:f>OR(Maaned!$BH5="Weekend")</xm:f>
            <x14:dxf>
              <font>
                <color theme="1"/>
              </font>
              <fill>
                <patternFill>
                  <bgColor theme="0" tint="-0.14996795556505021"/>
                </patternFill>
              </fill>
            </x14:dxf>
          </x14:cfRule>
          <x14:cfRule type="expression" priority="68" id="{7DEDF70A-326E-7A42-A03E-D724AA1CF9F6}">
            <xm:f>OR(Maaned!$BH5="Særlig uge 4")</xm:f>
            <x14:dxf>
              <font>
                <color theme="1"/>
              </font>
              <fill>
                <patternFill>
                  <bgColor rgb="FF7030A0"/>
                </patternFill>
              </fill>
            </x14:dxf>
          </x14:cfRule>
          <x14:cfRule type="expression" priority="69" id="{612FC441-CCE1-BE47-93C7-7A92572D5F59}">
            <xm:f>OR(Maaned!$BH5="Særlig uge 3")</xm:f>
            <x14:dxf>
              <font>
                <color theme="1"/>
              </font>
              <fill>
                <patternFill>
                  <bgColor rgb="FF7A81FF"/>
                </patternFill>
              </fill>
            </x14:dxf>
          </x14:cfRule>
          <x14:cfRule type="expression" priority="70" id="{06B8E9B0-D1B5-7842-9B27-0DF3E2D1B35D}">
            <xm:f>OR(Maaned!$BH5="Særlig uge 2")</xm:f>
            <x14:dxf>
              <font>
                <color theme="1"/>
              </font>
              <fill>
                <patternFill>
                  <bgColor rgb="FFE6DFFF"/>
                </patternFill>
              </fill>
            </x14:dxf>
          </x14:cfRule>
          <x14:cfRule type="expression" priority="71" id="{0009B370-72D7-FC4D-97CA-871F708EA606}">
            <xm:f>OR(Maaned!$BH5="Særlig uge 1")</xm:f>
            <x14:dxf>
              <font>
                <color theme="1"/>
              </font>
              <fill>
                <patternFill>
                  <bgColor rgb="FFD883FF"/>
                </patternFill>
              </fill>
            </x14:dxf>
          </x14:cfRule>
          <x14:cfRule type="expression" priority="72" id="{C845A001-FE9C-3546-8116-08CD09ADCF13}">
            <xm:f>OR(Maaned!$BH5="Normal uge 1")</xm:f>
            <x14:dxf>
              <font>
                <color theme="1"/>
              </font>
              <fill>
                <patternFill>
                  <bgColor theme="0"/>
                </patternFill>
              </fill>
            </x14:dxf>
          </x14:cfRule>
          <x14:cfRule type="expression" priority="73" id="{6F991A70-BD87-B14D-A7FB-31756461DD9B}">
            <xm:f>OR(Maaned!$BH5="Normal uge 2")</xm:f>
            <x14:dxf>
              <font>
                <color theme="1"/>
              </font>
              <fill>
                <patternFill>
                  <bgColor theme="4" tint="0.79998168889431442"/>
                </patternFill>
              </fill>
            </x14:dxf>
          </x14:cfRule>
          <x14:cfRule type="expression" priority="74" id="{062104AE-AF7F-844D-9087-D81214A8FEF8}">
            <xm:f>OR(Maaned!$BH5="SH-dag")</xm:f>
            <x14:dxf>
              <font>
                <color theme="1"/>
              </font>
              <fill>
                <patternFill>
                  <bgColor rgb="FFFF2F82"/>
                </patternFill>
              </fill>
            </x14:dxf>
          </x14:cfRule>
          <x14:cfRule type="expression" priority="75" id="{D310B1D5-554D-334B-8D3D-8B6574ADDA8B}">
            <xm:f>OR(Maaned!$BH5="ekskursion")</xm:f>
            <x14:dxf>
              <font>
                <color theme="1"/>
              </font>
              <fill>
                <patternFill>
                  <bgColor theme="7" tint="0.59996337778862885"/>
                </patternFill>
              </fill>
            </x14:dxf>
          </x14:cfRule>
          <x14:cfRule type="expression" priority="76" id="{40DA3650-94EA-524B-9949-E863329038FC}">
            <xm:f>OR(Maaned!$BH5="koloni")</xm:f>
            <x14:dxf>
              <font>
                <color theme="1"/>
              </font>
              <fill>
                <patternFill>
                  <bgColor theme="7" tint="0.79998168889431442"/>
                </patternFill>
              </fill>
            </x14:dxf>
          </x14:cfRule>
          <x14:cfRule type="expression" priority="77" id="{ECA53E5E-F34E-C742-8545-ADFD2A12DBCA}">
            <xm:f>OR(Maaned!$BH5="Pæd.dag")</xm:f>
            <x14:dxf>
              <font>
                <color theme="1"/>
              </font>
              <fill>
                <patternFill>
                  <bgColor rgb="FFFFC000"/>
                </patternFill>
              </fill>
            </x14:dxf>
          </x14:cfRule>
          <xm:sqref>K3:O32</xm:sqref>
        </x14:conditionalFormatting>
        <x14:conditionalFormatting xmlns:xm="http://schemas.microsoft.com/office/excel/2006/main">
          <x14:cfRule type="expression" priority="9" id="{279F7E13-286E-544F-B294-FDDEF22D356B}">
            <xm:f>OR(Maaned!$BO5="Rul 4")</xm:f>
            <x14:dxf>
              <font>
                <color theme="1"/>
              </font>
              <fill>
                <patternFill>
                  <bgColor theme="5" tint="-0.24994659260841701"/>
                </patternFill>
              </fill>
            </x14:dxf>
          </x14:cfRule>
          <x14:cfRule type="expression" priority="10" id="{FA8B4876-2ECC-FB4B-AB4F-394DC59DAA24}">
            <xm:f>OR(Maaned!$BO5="Rul 3")</xm:f>
            <x14:dxf>
              <font>
                <color theme="1"/>
              </font>
              <fill>
                <patternFill>
                  <bgColor theme="5" tint="0.39994506668294322"/>
                </patternFill>
              </fill>
            </x14:dxf>
          </x14:cfRule>
          <x14:cfRule type="expression" priority="11" id="{E46C18D8-8AD9-514F-9836-C137EA1F9BF5}">
            <xm:f>OR(Maaned!$BO5="Rul 2")</xm:f>
            <x14:dxf>
              <font>
                <color theme="1"/>
              </font>
              <fill>
                <patternFill>
                  <bgColor theme="5" tint="0.59996337778862885"/>
                </patternFill>
              </fill>
            </x14:dxf>
          </x14:cfRule>
          <x14:cfRule type="expression" priority="12" id="{8B692BCE-27F1-5C42-8D3C-96EACBAD7728}">
            <xm:f>OR(Maaned!$BO5="Rul 1")</xm:f>
            <x14:dxf>
              <font>
                <color theme="1"/>
              </font>
              <fill>
                <patternFill>
                  <bgColor theme="5" tint="0.79998168889431442"/>
                </patternFill>
              </fill>
            </x14:dxf>
          </x14:cfRule>
          <x14:cfRule type="expression" priority="53" id="{74BE8A54-E650-0C4F-9D6C-5CFEF8A56B1F}">
            <xm:f>OR(Maaned!$BO5="Weekend")</xm:f>
            <x14:dxf>
              <font>
                <color theme="1"/>
              </font>
              <fill>
                <patternFill>
                  <bgColor theme="0" tint="-0.14996795556505021"/>
                </patternFill>
              </fill>
            </x14:dxf>
          </x14:cfRule>
          <x14:cfRule type="expression" priority="54" id="{C2A93378-B410-2846-B5CB-F6CEB0194A60}">
            <xm:f>OR(Maaned!$BO5="Særlig uge 4")</xm:f>
            <x14:dxf>
              <font>
                <color theme="1"/>
              </font>
              <fill>
                <patternFill>
                  <bgColor rgb="FF7030A0"/>
                </patternFill>
              </fill>
            </x14:dxf>
          </x14:cfRule>
          <x14:cfRule type="expression" priority="55" id="{57CA6FE9-5B95-4A46-8675-A1A899D4F9C6}">
            <xm:f>OR(Maaned!$BO5="Særlig uge 3")</xm:f>
            <x14:dxf>
              <font>
                <color theme="1"/>
              </font>
              <fill>
                <patternFill>
                  <bgColor rgb="FF7A81FF"/>
                </patternFill>
              </fill>
            </x14:dxf>
          </x14:cfRule>
          <x14:cfRule type="expression" priority="56" id="{709F017B-37CE-C04C-9DC8-83F0E9BF5636}">
            <xm:f>OR(Maaned!$BO5="Særlig uge 2")</xm:f>
            <x14:dxf>
              <font>
                <color theme="1"/>
              </font>
              <fill>
                <patternFill>
                  <bgColor rgb="FFE6DFFF"/>
                </patternFill>
              </fill>
            </x14:dxf>
          </x14:cfRule>
          <x14:cfRule type="expression" priority="57" id="{F56EE9BF-AB2D-EA44-8EF0-B5B427AF848A}">
            <xm:f>OR(Maaned!$BO5="Særlig uge 1")</xm:f>
            <x14:dxf>
              <font>
                <color theme="1"/>
              </font>
              <fill>
                <patternFill>
                  <bgColor rgb="FFD883FF"/>
                </patternFill>
              </fill>
            </x14:dxf>
          </x14:cfRule>
          <x14:cfRule type="expression" priority="58" id="{9995EB63-B00D-184D-9016-434ABA22B74E}">
            <xm:f>OR(Maaned!$BO5="Normal uge 1")</xm:f>
            <x14:dxf>
              <font>
                <color theme="1"/>
              </font>
              <fill>
                <patternFill>
                  <bgColor theme="0"/>
                </patternFill>
              </fill>
            </x14:dxf>
          </x14:cfRule>
          <x14:cfRule type="expression" priority="59" id="{43CB7409-BD2F-C74A-9927-DA7CEFB30B35}">
            <xm:f>OR(Maaned!$BO5="Normal uge 2")</xm:f>
            <x14:dxf>
              <font>
                <color theme="1"/>
              </font>
              <fill>
                <patternFill>
                  <bgColor theme="4" tint="0.79998168889431442"/>
                </patternFill>
              </fill>
            </x14:dxf>
          </x14:cfRule>
          <x14:cfRule type="expression" priority="60" id="{520CAB17-4335-394E-8E89-6DDC53DE503B}">
            <xm:f>OR(Maaned!$BO5="SH-dag")</xm:f>
            <x14:dxf>
              <font>
                <color theme="1"/>
              </font>
              <fill>
                <patternFill>
                  <bgColor rgb="FFFF2F82"/>
                </patternFill>
              </fill>
            </x14:dxf>
          </x14:cfRule>
          <x14:cfRule type="expression" priority="61" id="{E632B78B-36C5-BC4E-92DD-79CFC851BD11}">
            <xm:f>OR(Maaned!$BO5="ekskursion")</xm:f>
            <x14:dxf>
              <font>
                <color theme="1"/>
              </font>
              <fill>
                <patternFill>
                  <bgColor theme="7" tint="0.59996337778862885"/>
                </patternFill>
              </fill>
            </x14:dxf>
          </x14:cfRule>
          <x14:cfRule type="expression" priority="62" id="{CBF765B7-A4E8-2044-9DAD-8C7359D5713C}">
            <xm:f>OR(Maaned!$BO5="koloni")</xm:f>
            <x14:dxf>
              <font>
                <color theme="1"/>
              </font>
              <fill>
                <patternFill>
                  <bgColor theme="7" tint="0.79998168889431442"/>
                </patternFill>
              </fill>
            </x14:dxf>
          </x14:cfRule>
          <x14:cfRule type="expression" priority="63" id="{F2994091-65A0-6143-A75B-58F9FCAD0414}">
            <xm:f>OR(Maaned!$BO5="Pæd.dag")</xm:f>
            <x14:dxf>
              <font>
                <color theme="1"/>
              </font>
              <fill>
                <patternFill>
                  <bgColor rgb="FFFFC000"/>
                </patternFill>
              </fill>
            </x14:dxf>
          </x14:cfRule>
          <x14:cfRule type="expression" priority="64" id="{F2866744-D4A3-C84B-9C77-0FFF36CFA45C}">
            <xm:f>OR(Maaned!$BO5="Feriedag")</xm:f>
            <x14:dxf>
              <font>
                <color theme="1"/>
              </font>
              <fill>
                <patternFill>
                  <bgColor theme="9" tint="0.39994506668294322"/>
                </patternFill>
              </fill>
            </x14:dxf>
          </x14:cfRule>
          <x14:cfRule type="expression" priority="65" id="{DFA8C213-B3F4-454F-A720-49BA6B3277B1}">
            <xm:f>OR(Maaned!$BO5="Nul-dag")</xm:f>
            <x14:dxf>
              <font>
                <color theme="1"/>
              </font>
              <fill>
                <patternFill>
                  <bgColor theme="9" tint="0.79998168889431442"/>
                </patternFill>
              </fill>
            </x14:dxf>
          </x14:cfRule>
          <x14:cfRule type="expression" priority="66" stopIfTrue="1" id="{DEB89357-C0D3-9C48-B1B3-B61D41BEBABC}">
            <xm:f>OR(Maaned!$BO5="Ikke relevant")</xm:f>
            <x14:dxf>
              <font>
                <color theme="0"/>
              </font>
              <fill>
                <patternFill patternType="solid">
                  <bgColor theme="1"/>
                </patternFill>
              </fill>
            </x14:dxf>
          </x14:cfRule>
          <xm:sqref>P3:T33</xm:sqref>
        </x14:conditionalFormatting>
        <x14:conditionalFormatting xmlns:xm="http://schemas.microsoft.com/office/excel/2006/main">
          <x14:cfRule type="expression" priority="116" id="{16731749-02F8-0845-87E2-FE08BB31502E}">
            <xm:f>OR(Maaned!$BV5="lejrskole")</xm:f>
            <x14:dxf>
              <font>
                <color theme="1"/>
              </font>
              <fill>
                <patternFill>
                  <bgColor theme="8" tint="0.59996337778862885"/>
                </patternFill>
              </fill>
            </x14:dxf>
          </x14:cfRule>
          <x14:cfRule type="expression" priority="117" id="{169795D8-3DA1-8849-B592-802D1504A74D}">
            <xm:f>OR(Maaned!$BV5="emnedag")</xm:f>
            <x14:dxf>
              <font>
                <color theme="1"/>
              </font>
              <fill>
                <patternFill>
                  <bgColor theme="5" tint="0.59996337778862885"/>
                </patternFill>
              </fill>
            </x14:dxf>
          </x14:cfRule>
          <x14:cfRule type="expression" priority="118" id="{3CC8D176-BCFE-824D-9A63-F913000CD351}">
            <xm:f>OR(Maaned!$BV5="fagdag")</xm:f>
            <x14:dxf>
              <font>
                <color theme="1"/>
              </font>
              <fill>
                <patternFill>
                  <bgColor theme="9" tint="0.59996337778862885"/>
                </patternFill>
              </fill>
            </x14:dxf>
          </x14:cfRule>
          <x14:cfRule type="expression" priority="119" id="{64D50124-7EE7-4846-B02F-00DA7C1B205C}">
            <xm:f>OR(Maaned!$BV5="feriedag")</xm:f>
            <x14:dxf>
              <font>
                <color theme="1"/>
              </font>
              <fill>
                <patternFill>
                  <bgColor theme="6" tint="0.39994506668294322"/>
                </patternFill>
              </fill>
            </x14:dxf>
          </x14:cfRule>
          <x14:cfRule type="expression" priority="120" id="{1352F51C-3799-5443-ABBE-B06222A30399}">
            <xm:f>OR(Maaned!$BV5="weekend")</xm:f>
            <x14:dxf>
              <font>
                <color theme="1"/>
              </font>
              <fill>
                <patternFill>
                  <bgColor theme="0" tint="-0.14996795556505021"/>
                </patternFill>
              </fill>
            </x14:dxf>
          </x14:cfRule>
          <xm:sqref>U3:V32 X3:Y32</xm:sqref>
        </x14:conditionalFormatting>
        <x14:conditionalFormatting xmlns:xm="http://schemas.microsoft.com/office/excel/2006/main">
          <x14:cfRule type="expression" priority="121" stopIfTrue="1" id="{A2747647-4267-4045-BF63-4AE1311E66BA}">
            <xm:f>OR(Maaned!$BV5="skoledag")</xm:f>
            <x14:dxf>
              <font>
                <color theme="1"/>
              </font>
              <fill>
                <patternFill patternType="none">
                  <bgColor auto="1"/>
                </patternFill>
              </fill>
            </x14:dxf>
          </x14:cfRule>
          <xm:sqref>U3:V32 X3:Y32</xm:sqref>
        </x14:conditionalFormatting>
        <x14:conditionalFormatting xmlns:xm="http://schemas.microsoft.com/office/excel/2006/main">
          <x14:cfRule type="expression" priority="115" id="{34DC5265-0948-9045-8C5D-CD9AA6BEA93A}">
            <xm:f>OR(Maaned!$BV5="ekskursion")</xm:f>
            <x14:dxf>
              <font>
                <color theme="1"/>
              </font>
              <fill>
                <patternFill>
                  <bgColor rgb="FFFFFF00"/>
                </patternFill>
              </fill>
            </x14:dxf>
          </x14:cfRule>
          <xm:sqref>U3:V32 X3:Y32</xm:sqref>
        </x14:conditionalFormatting>
        <x14:conditionalFormatting xmlns:xm="http://schemas.microsoft.com/office/excel/2006/main">
          <x14:cfRule type="expression" priority="113" id="{1F57D16E-2AA0-2F49-BB45-CC1A2E707344}">
            <xm:f>OR(Maaned!$BV5="nul-dag")</xm:f>
            <x14:dxf>
              <font>
                <color theme="1"/>
              </font>
              <fill>
                <patternFill>
                  <bgColor theme="3" tint="0.59996337778862885"/>
                </patternFill>
              </fill>
            </x14:dxf>
          </x14:cfRule>
          <x14:cfRule type="expression" priority="114" id="{ACB682B4-27A0-2949-A5C0-EED991C00D5E}">
            <xm:f>OR(Maaned!$BV5="SH-dag")</xm:f>
            <x14:dxf>
              <font>
                <color theme="1"/>
              </font>
              <fill>
                <patternFill>
                  <bgColor rgb="FFFF2F82"/>
                </patternFill>
              </fill>
            </x14:dxf>
          </x14:cfRule>
          <xm:sqref>U3:V32 X3:Y32</xm:sqref>
        </x14:conditionalFormatting>
        <x14:conditionalFormatting xmlns:xm="http://schemas.microsoft.com/office/excel/2006/main">
          <x14:cfRule type="expression" priority="102" id="{571238D5-3B98-F440-AA94-921D1CB9402C}">
            <xm:f>OR(Maaned!$CC5="pæd.dag")</xm:f>
            <x14:dxf>
              <font>
                <color theme="1"/>
              </font>
              <fill>
                <patternFill>
                  <bgColor theme="7" tint="0.39994506668294322"/>
                </patternFill>
              </fill>
            </x14:dxf>
          </x14:cfRule>
          <x14:cfRule type="expression" priority="106" id="{96B943AF-6B24-B646-B2FE-FF077AC74F89}">
            <xm:f>OR(Maaned!$CC5="lejrskole")</xm:f>
            <x14:dxf>
              <font>
                <color theme="1"/>
              </font>
              <fill>
                <patternFill>
                  <bgColor theme="8" tint="0.59996337778862885"/>
                </patternFill>
              </fill>
            </x14:dxf>
          </x14:cfRule>
          <x14:cfRule type="expression" priority="107" id="{17FBAF88-D8E2-7F46-9830-E67C82C2D8BD}">
            <xm:f>OR(Maaned!$CC5="emnedag")</xm:f>
            <x14:dxf>
              <font>
                <color theme="1"/>
              </font>
              <fill>
                <patternFill>
                  <bgColor theme="5" tint="0.59996337778862885"/>
                </patternFill>
              </fill>
            </x14:dxf>
          </x14:cfRule>
          <x14:cfRule type="expression" priority="108" id="{1E555817-48F1-A045-902E-F04F1BE66CE0}">
            <xm:f>OR(Maaned!$CC5="fagdag")</xm:f>
            <x14:dxf>
              <font>
                <color theme="1"/>
              </font>
              <fill>
                <patternFill>
                  <bgColor theme="9" tint="0.59996337778862885"/>
                </patternFill>
              </fill>
            </x14:dxf>
          </x14:cfRule>
          <x14:cfRule type="expression" priority="109" id="{038D56C3-AF8D-5C4D-ADB4-C4F12F9A0E8C}">
            <xm:f>OR(Maaned!$CC5="feriedag")</xm:f>
            <x14:dxf>
              <font>
                <color theme="1"/>
              </font>
              <fill>
                <patternFill>
                  <bgColor theme="6" tint="0.39994506668294322"/>
                </patternFill>
              </fill>
            </x14:dxf>
          </x14:cfRule>
          <x14:cfRule type="expression" priority="110" id="{7CA69F67-97F9-8842-A9FB-F53C8F2DB0CC}">
            <xm:f>OR(Maaned!$CC5="weekend")</xm:f>
            <x14:dxf>
              <font>
                <color theme="1"/>
              </font>
              <fill>
                <patternFill>
                  <bgColor theme="0" tint="-0.14996795556505021"/>
                </patternFill>
              </fill>
            </x14:dxf>
          </x14:cfRule>
          <xm:sqref>Z33:AD33 Z3:AA32 AC3:AD32</xm:sqref>
        </x14:conditionalFormatting>
        <x14:conditionalFormatting xmlns:xm="http://schemas.microsoft.com/office/excel/2006/main">
          <x14:cfRule type="expression" priority="111" stopIfTrue="1" id="{68E98FA2-6340-3047-85F7-7FB1EA7B0C05}">
            <xm:f>OR(Maaned!$CC5="skoledag")</xm:f>
            <x14:dxf>
              <font>
                <color theme="1"/>
              </font>
              <fill>
                <patternFill patternType="none">
                  <bgColor auto="1"/>
                </patternFill>
              </fill>
            </x14:dxf>
          </x14:cfRule>
          <xm:sqref>Z33:AD33 Z3:AA32 AC3:AD32</xm:sqref>
        </x14:conditionalFormatting>
        <x14:conditionalFormatting xmlns:xm="http://schemas.microsoft.com/office/excel/2006/main">
          <x14:cfRule type="expression" priority="105" id="{B9547019-FE4A-F643-8461-DF00B9F406CA}">
            <xm:f>OR(Maaned!$CC5="ekskursion")</xm:f>
            <x14:dxf>
              <font>
                <color theme="1"/>
              </font>
              <fill>
                <patternFill>
                  <bgColor rgb="FFFFFF00"/>
                </patternFill>
              </fill>
            </x14:dxf>
          </x14:cfRule>
          <xm:sqref>Z33:AD33 Z3:AA32 AC3:AD32</xm:sqref>
        </x14:conditionalFormatting>
        <x14:conditionalFormatting xmlns:xm="http://schemas.microsoft.com/office/excel/2006/main">
          <x14:cfRule type="expression" priority="103" id="{01C1406F-BBE7-674F-B84E-2ABC7D9BAC6E}">
            <xm:f>OR(Maaned!$CC5="nul-dag")</xm:f>
            <x14:dxf>
              <font>
                <color theme="1"/>
              </font>
              <fill>
                <patternFill>
                  <bgColor theme="3" tint="0.59996337778862885"/>
                </patternFill>
              </fill>
            </x14:dxf>
          </x14:cfRule>
          <x14:cfRule type="expression" priority="104" id="{31923457-1EB1-1245-8A10-45AE1CAE4209}">
            <xm:f>OR(Maaned!$CC5="SH-dag")</xm:f>
            <x14:dxf>
              <font>
                <color theme="1"/>
              </font>
              <fill>
                <patternFill>
                  <bgColor rgb="FFFF2F82"/>
                </patternFill>
              </fill>
            </x14:dxf>
          </x14:cfRule>
          <xm:sqref>Z33:AD33 Z3:AA32 AC3:AD32</xm:sqref>
        </x14:conditionalFormatting>
        <x14:conditionalFormatting xmlns:xm="http://schemas.microsoft.com/office/excel/2006/main">
          <x14:cfRule type="expression" priority="21" id="{84372A83-A3BE-9641-BFBF-1E944B36A330}">
            <xm:f>OR(Maaned!$AT5="Rul 4")</xm:f>
            <x14:dxf>
              <font>
                <color theme="1"/>
              </font>
              <fill>
                <patternFill>
                  <bgColor theme="5" tint="-0.24994659260841701"/>
                </patternFill>
              </fill>
            </x14:dxf>
          </x14:cfRule>
          <x14:cfRule type="expression" priority="22" id="{B2EB9F3C-9F22-E34A-A84C-8E8AF136735F}">
            <xm:f>OR(Maaned!$AT5="Rul 3")</xm:f>
            <x14:dxf>
              <font>
                <color theme="1"/>
              </font>
              <fill>
                <patternFill>
                  <bgColor theme="5" tint="0.39994506668294322"/>
                </patternFill>
              </fill>
            </x14:dxf>
          </x14:cfRule>
          <x14:cfRule type="expression" priority="23" id="{5C06738D-3E3B-8B42-9882-36B5D275921F}">
            <xm:f>OR(Maaned!$AT5="Rul 2")</xm:f>
            <x14:dxf>
              <font>
                <color theme="1"/>
              </font>
              <fill>
                <patternFill>
                  <bgColor theme="5" tint="0.59996337778862885"/>
                </patternFill>
              </fill>
            </x14:dxf>
          </x14:cfRule>
          <x14:cfRule type="expression" priority="24" id="{8B869278-E68C-D141-9FBA-9D333FF50278}">
            <xm:f>OR(Maaned!$AT5="Rul 1")</xm:f>
            <x14:dxf>
              <font>
                <color theme="1"/>
              </font>
              <fill>
                <patternFill>
                  <bgColor theme="5" tint="0.79998168889431442"/>
                </patternFill>
              </fill>
            </x14:dxf>
          </x14:cfRule>
          <x14:cfRule type="expression" priority="97" id="{B8626ABC-D479-8B42-9CA9-8712D23E6A7A}">
            <xm:f>OR(Maaned!$AT5="Weekend")</xm:f>
            <x14:dxf>
              <font>
                <color theme="1"/>
              </font>
              <fill>
                <patternFill>
                  <bgColor theme="0" tint="-0.14996795556505021"/>
                </patternFill>
              </fill>
            </x14:dxf>
          </x14:cfRule>
          <x14:cfRule type="expression" priority="98" id="{14D2ABF3-FC83-1248-B2D6-04B38A500396}">
            <xm:f>OR(Maaned!$AT5="Særlig uge 4")</xm:f>
            <x14:dxf>
              <font>
                <color theme="1"/>
              </font>
              <fill>
                <patternFill>
                  <bgColor rgb="FF7030A0"/>
                </patternFill>
              </fill>
            </x14:dxf>
          </x14:cfRule>
          <x14:cfRule type="expression" priority="99" id="{014FFF94-9143-FA44-8E18-CC4BC8E9D3C1}">
            <xm:f>OR(Maaned!$AT5="Særlig uge 3")</xm:f>
            <x14:dxf>
              <font>
                <color theme="1"/>
              </font>
              <fill>
                <patternFill>
                  <bgColor rgb="FF7A81FF"/>
                </patternFill>
              </fill>
            </x14:dxf>
          </x14:cfRule>
          <x14:cfRule type="expression" priority="100" id="{4D70626E-221F-AF4D-8FC6-DB5EAE22365F}">
            <xm:f>OR(Maaned!$AT5="Særlig uge 2")</xm:f>
            <x14:dxf>
              <font>
                <color theme="1"/>
              </font>
              <fill>
                <patternFill>
                  <bgColor rgb="FFE6DFFF"/>
                </patternFill>
              </fill>
            </x14:dxf>
          </x14:cfRule>
          <x14:cfRule type="expression" priority="101" id="{6D09F0A3-1EC8-3743-8FC7-40760B2488DB}">
            <xm:f>OR(Maaned!$AT5="Særlig uge 1")</xm:f>
            <x14:dxf>
              <font>
                <color theme="1"/>
              </font>
              <fill>
                <patternFill>
                  <bgColor rgb="FFD883FF"/>
                </patternFill>
              </fill>
            </x14:dxf>
          </x14:cfRule>
          <xm:sqref>A3:E30</xm:sqref>
        </x14:conditionalFormatting>
        <x14:conditionalFormatting xmlns:xm="http://schemas.microsoft.com/office/excel/2006/main">
          <x14:cfRule type="expression" priority="78" id="{C6D7E26C-A0A2-4B45-BACC-65488A97A0D9}">
            <xm:f>OR(Maaned!$BH5="Feriedag")</xm:f>
            <x14:dxf>
              <font>
                <color theme="1"/>
              </font>
              <fill>
                <patternFill>
                  <bgColor theme="9" tint="0.39994506668294322"/>
                </patternFill>
              </fill>
            </x14:dxf>
          </x14:cfRule>
          <x14:cfRule type="expression" priority="79" id="{F1BC0891-7D4C-5B41-9DAC-A6F3118C2BD7}">
            <xm:f>OR(Maaned!$BH5="Nul-dag")</xm:f>
            <x14:dxf>
              <font>
                <color theme="1"/>
              </font>
              <fill>
                <patternFill>
                  <bgColor theme="9" tint="0.79998168889431442"/>
                </patternFill>
              </fill>
            </x14:dxf>
          </x14:cfRule>
          <x14:cfRule type="expression" priority="80" stopIfTrue="1" id="{4CAF9D6E-79E0-7847-8BE7-5C555A488F4A}">
            <xm:f>OR(Maaned!$BH5="Ikke relevant")</xm:f>
            <x14:dxf>
              <font>
                <color theme="0"/>
              </font>
              <fill>
                <patternFill patternType="solid">
                  <bgColor theme="1"/>
                </patternFill>
              </fill>
            </x14:dxf>
          </x14:cfRule>
          <xm:sqref>K3:O33</xm:sqref>
        </x14:conditionalFormatting>
        <x14:conditionalFormatting xmlns:xm="http://schemas.microsoft.com/office/excel/2006/main">
          <x14:cfRule type="expression" priority="5" id="{E272EF0D-F0DA-3B4E-A05F-8DD851A0C671}">
            <xm:f>OR(Maaned!$BV5="Rul 4")</xm:f>
            <x14:dxf>
              <font>
                <color theme="1"/>
              </font>
              <fill>
                <patternFill>
                  <bgColor theme="5" tint="-0.24994659260841701"/>
                </patternFill>
              </fill>
            </x14:dxf>
          </x14:cfRule>
          <x14:cfRule type="expression" priority="6" id="{DD0BDE5A-2555-C44E-93D6-F8C2471641AC}">
            <xm:f>OR(Maaned!$BV5="Rul 3")</xm:f>
            <x14:dxf>
              <font>
                <color theme="1"/>
              </font>
              <fill>
                <patternFill>
                  <bgColor theme="5" tint="0.39994506668294322"/>
                </patternFill>
              </fill>
            </x14:dxf>
          </x14:cfRule>
          <x14:cfRule type="expression" priority="7" id="{141EC18D-8AFA-B04D-A4F8-DCE065CE85C8}">
            <xm:f>OR(Maaned!$BV5="Rul 2")</xm:f>
            <x14:dxf>
              <font>
                <color theme="1"/>
              </font>
              <fill>
                <patternFill>
                  <bgColor theme="5" tint="0.59996337778862885"/>
                </patternFill>
              </fill>
            </x14:dxf>
          </x14:cfRule>
          <x14:cfRule type="expression" priority="8" id="{FC8A0D2F-24AE-4047-9D7C-F235594E5715}">
            <xm:f>OR(Maaned!$BV5="Rul 1")</xm:f>
            <x14:dxf>
              <font>
                <color theme="1"/>
              </font>
              <fill>
                <patternFill>
                  <bgColor theme="5" tint="0.79998168889431442"/>
                </patternFill>
              </fill>
            </x14:dxf>
          </x14:cfRule>
          <x14:cfRule type="expression" priority="39" id="{3DA0285E-C3F4-2345-B466-5CC16BFF3B5E}">
            <xm:f>OR(Maaned!$BV5="Weekend")</xm:f>
            <x14:dxf>
              <font>
                <color theme="1"/>
              </font>
              <fill>
                <patternFill>
                  <bgColor theme="0" tint="-0.14996795556505021"/>
                </patternFill>
              </fill>
            </x14:dxf>
          </x14:cfRule>
          <x14:cfRule type="expression" priority="40" id="{7A199120-6366-1C4D-9048-35F9B22CB9D4}">
            <xm:f>OR(Maaned!$BV5="Særlig uge 4")</xm:f>
            <x14:dxf>
              <font>
                <color theme="1"/>
              </font>
              <fill>
                <patternFill>
                  <bgColor rgb="FF7030A0"/>
                </patternFill>
              </fill>
            </x14:dxf>
          </x14:cfRule>
          <x14:cfRule type="expression" priority="41" id="{D5B84EDE-E0BD-6044-86F0-EA1E713F167B}">
            <xm:f>OR(Maaned!$BV5="Særlig uge 3")</xm:f>
            <x14:dxf>
              <font>
                <color theme="1"/>
              </font>
              <fill>
                <patternFill>
                  <bgColor rgb="FF7A81FF"/>
                </patternFill>
              </fill>
            </x14:dxf>
          </x14:cfRule>
          <x14:cfRule type="expression" priority="42" id="{1090DEAE-ECB2-CA4A-9A6B-4BD7C8C756DE}">
            <xm:f>OR(Maaned!$BV5="Særlig uge 2")</xm:f>
            <x14:dxf>
              <font>
                <color theme="1"/>
              </font>
              <fill>
                <patternFill>
                  <bgColor rgb="FFE6DFFF"/>
                </patternFill>
              </fill>
            </x14:dxf>
          </x14:cfRule>
          <x14:cfRule type="expression" priority="43" id="{11D9B506-6746-E54A-B053-1F70F4E0719F}">
            <xm:f>OR(Maaned!$BV5="Særlig uge 1")</xm:f>
            <x14:dxf>
              <font>
                <color theme="1"/>
              </font>
              <fill>
                <patternFill>
                  <bgColor rgb="FFD883FF"/>
                </patternFill>
              </fill>
            </x14:dxf>
          </x14:cfRule>
          <x14:cfRule type="expression" priority="44" id="{B731458B-9B63-B84E-8D3E-847B877D1261}">
            <xm:f>OR(Maaned!$BV5="Normal uge 1")</xm:f>
            <x14:dxf>
              <font>
                <color theme="1"/>
              </font>
              <fill>
                <patternFill>
                  <bgColor theme="0"/>
                </patternFill>
              </fill>
            </x14:dxf>
          </x14:cfRule>
          <x14:cfRule type="expression" priority="45" id="{2EFEE713-AA53-7F48-9722-5F33DDC54E34}">
            <xm:f>OR(Maaned!$BV5="Normal uge 2")</xm:f>
            <x14:dxf>
              <font>
                <color theme="1"/>
              </font>
              <fill>
                <patternFill>
                  <bgColor theme="4" tint="0.79998168889431442"/>
                </patternFill>
              </fill>
            </x14:dxf>
          </x14:cfRule>
          <x14:cfRule type="expression" priority="46" id="{C2B60543-A77F-D44B-9219-5F422FCD336C}">
            <xm:f>OR(Maaned!$BV5="SH-dag")</xm:f>
            <x14:dxf>
              <font>
                <color theme="1"/>
              </font>
              <fill>
                <patternFill>
                  <bgColor rgb="FFFF2F82"/>
                </patternFill>
              </fill>
            </x14:dxf>
          </x14:cfRule>
          <x14:cfRule type="expression" priority="47" id="{F7A6AFEF-67E8-6444-B851-A9B840634801}">
            <xm:f>OR(Maaned!$BV5="ekskursion")</xm:f>
            <x14:dxf>
              <font>
                <color theme="1"/>
              </font>
              <fill>
                <patternFill>
                  <bgColor theme="7" tint="0.59996337778862885"/>
                </patternFill>
              </fill>
            </x14:dxf>
          </x14:cfRule>
          <x14:cfRule type="expression" priority="48" id="{6A80C40E-C243-5B40-81D6-3BB22C61A7E0}">
            <xm:f>OR(Maaned!$BV5="koloni")</xm:f>
            <x14:dxf>
              <font>
                <color theme="1"/>
              </font>
              <fill>
                <patternFill>
                  <bgColor theme="7" tint="0.79998168889431442"/>
                </patternFill>
              </fill>
            </x14:dxf>
          </x14:cfRule>
          <x14:cfRule type="expression" priority="49" id="{9237BDBF-B851-D34C-8B90-7F8DB5D6BC2F}">
            <xm:f>OR(Maaned!$BV5="Pæd.dag")</xm:f>
            <x14:dxf>
              <font>
                <color theme="1"/>
              </font>
              <fill>
                <patternFill>
                  <bgColor rgb="FFFFC000"/>
                </patternFill>
              </fill>
            </x14:dxf>
          </x14:cfRule>
          <x14:cfRule type="expression" priority="50" id="{97909441-A238-A941-8913-3F007D7241D2}">
            <xm:f>OR(Maaned!$BV5="Feriedag")</xm:f>
            <x14:dxf>
              <font>
                <color theme="1"/>
              </font>
              <fill>
                <patternFill>
                  <bgColor theme="9" tint="0.39994506668294322"/>
                </patternFill>
              </fill>
            </x14:dxf>
          </x14:cfRule>
          <x14:cfRule type="expression" priority="51" id="{1233AC89-A974-4F45-8D1A-35096A0FF968}">
            <xm:f>OR(Maaned!$BV5="Nul-dag")</xm:f>
            <x14:dxf>
              <font>
                <color theme="1"/>
              </font>
              <fill>
                <patternFill>
                  <bgColor theme="9" tint="0.79998168889431442"/>
                </patternFill>
              </fill>
            </x14:dxf>
          </x14:cfRule>
          <x14:cfRule type="expression" priority="52" stopIfTrue="1" id="{26743A8E-E1F7-694D-9143-62B86DA1E845}">
            <xm:f>OR(Maaned!$BV5="Ikke relevant")</xm:f>
            <x14:dxf>
              <font>
                <color theme="0"/>
              </font>
              <fill>
                <patternFill patternType="solid">
                  <bgColor theme="1"/>
                </patternFill>
              </fill>
            </x14:dxf>
          </x14:cfRule>
          <xm:sqref>U3:Y32</xm:sqref>
        </x14:conditionalFormatting>
        <x14:conditionalFormatting xmlns:xm="http://schemas.microsoft.com/office/excel/2006/main">
          <x14:cfRule type="expression" priority="1" id="{3C742530-89D5-E14F-9DFA-43CE227B7EBF}">
            <xm:f>OR(Maaned!$CC5="Rul 4")</xm:f>
            <x14:dxf>
              <font>
                <color theme="1"/>
              </font>
              <fill>
                <patternFill>
                  <bgColor theme="5" tint="-0.24994659260841701"/>
                </patternFill>
              </fill>
            </x14:dxf>
          </x14:cfRule>
          <x14:cfRule type="expression" priority="2" id="{D9E93B5F-4365-704B-9CB3-1001A8DB05FB}">
            <xm:f>OR(Maaned!$CC5="Rul 3")</xm:f>
            <x14:dxf>
              <font>
                <color theme="1"/>
              </font>
              <fill>
                <patternFill>
                  <bgColor theme="5" tint="0.39994506668294322"/>
                </patternFill>
              </fill>
            </x14:dxf>
          </x14:cfRule>
          <x14:cfRule type="expression" priority="3" id="{C11A5A6B-7715-644C-95D1-C1994BDF4A49}">
            <xm:f>OR(Maaned!$CC5="Rul 2")</xm:f>
            <x14:dxf>
              <font>
                <color theme="1"/>
              </font>
              <fill>
                <patternFill>
                  <bgColor theme="5" tint="0.59996337778862885"/>
                </patternFill>
              </fill>
            </x14:dxf>
          </x14:cfRule>
          <x14:cfRule type="expression" priority="4" id="{C3B00F5B-80AA-D74B-9DFA-374ED7A93DA5}">
            <xm:f>OR(Maaned!$CC5="Rul 1")</xm:f>
            <x14:dxf>
              <font>
                <color theme="1"/>
              </font>
              <fill>
                <patternFill>
                  <bgColor theme="5" tint="0.79998168889431442"/>
                </patternFill>
              </fill>
            </x14:dxf>
          </x14:cfRule>
          <x14:cfRule type="expression" priority="25" id="{706322A4-7CE9-714E-B106-C89B4226D030}">
            <xm:f>OR(Maaned!$CC5="Weekend")</xm:f>
            <x14:dxf>
              <font>
                <color theme="1"/>
              </font>
              <fill>
                <patternFill>
                  <bgColor theme="0" tint="-0.14996795556505021"/>
                </patternFill>
              </fill>
            </x14:dxf>
          </x14:cfRule>
          <x14:cfRule type="expression" priority="26" id="{3EE6A91D-56E3-1A4D-B6F0-E717DAE3A086}">
            <xm:f>OR(Maaned!$CC5="Særlig uge 4")</xm:f>
            <x14:dxf>
              <font>
                <color theme="1"/>
              </font>
              <fill>
                <patternFill>
                  <bgColor rgb="FF7030A0"/>
                </patternFill>
              </fill>
            </x14:dxf>
          </x14:cfRule>
          <x14:cfRule type="expression" priority="27" id="{A0CDA024-227F-274A-B7FC-F319B693BE6A}">
            <xm:f>OR(Maaned!$CC5="Særlig uge 3")</xm:f>
            <x14:dxf>
              <font>
                <color theme="1"/>
              </font>
              <fill>
                <patternFill>
                  <bgColor rgb="FF7A81FF"/>
                </patternFill>
              </fill>
            </x14:dxf>
          </x14:cfRule>
          <x14:cfRule type="expression" priority="28" id="{370B5E71-9511-FA4B-B172-AA88A4F13249}">
            <xm:f>OR(Maaned!$CC5="Særlig uge 2")</xm:f>
            <x14:dxf>
              <font>
                <color theme="1"/>
              </font>
              <fill>
                <patternFill>
                  <bgColor rgb="FFE6DFFF"/>
                </patternFill>
              </fill>
            </x14:dxf>
          </x14:cfRule>
          <x14:cfRule type="expression" priority="29" id="{BD84FB25-D714-3A4C-B8DF-822234A66A41}">
            <xm:f>OR(Maaned!$CC5="Særlig uge 1")</xm:f>
            <x14:dxf>
              <font>
                <color theme="1"/>
              </font>
              <fill>
                <patternFill>
                  <bgColor rgb="FFD883FF"/>
                </patternFill>
              </fill>
            </x14:dxf>
          </x14:cfRule>
          <x14:cfRule type="expression" priority="30" id="{4E97F0FF-6310-BA4F-AC04-6FD83CF9898A}">
            <xm:f>OR(Maaned!$CC5="Normal uge 1")</xm:f>
            <x14:dxf>
              <font>
                <color theme="1"/>
              </font>
              <fill>
                <patternFill>
                  <bgColor theme="0"/>
                </patternFill>
              </fill>
            </x14:dxf>
          </x14:cfRule>
          <x14:cfRule type="expression" priority="31" id="{F0854E97-DC89-4243-878B-901DC087DE23}">
            <xm:f>OR(Maaned!$CC5="Normal uge 2")</xm:f>
            <x14:dxf>
              <font>
                <color theme="1"/>
              </font>
              <fill>
                <patternFill>
                  <bgColor theme="4" tint="0.79998168889431442"/>
                </patternFill>
              </fill>
            </x14:dxf>
          </x14:cfRule>
          <x14:cfRule type="expression" priority="32" id="{882E50A3-290F-4249-96F1-A9B5EC57EFE9}">
            <xm:f>OR(Maaned!$CC5="SH-dag")</xm:f>
            <x14:dxf>
              <font>
                <color theme="1"/>
              </font>
              <fill>
                <patternFill>
                  <bgColor rgb="FFFF2F82"/>
                </patternFill>
              </fill>
            </x14:dxf>
          </x14:cfRule>
          <x14:cfRule type="expression" priority="33" id="{B57269DF-E778-C94C-969D-61B537CBC7A5}">
            <xm:f>OR(Maaned!$CC5="ekskursion")</xm:f>
            <x14:dxf>
              <font>
                <color theme="1"/>
              </font>
              <fill>
                <patternFill>
                  <bgColor theme="7" tint="0.59996337778862885"/>
                </patternFill>
              </fill>
            </x14:dxf>
          </x14:cfRule>
          <x14:cfRule type="expression" priority="34" id="{F6C51CBC-7C81-C941-BC98-8C6CBFCAAA33}">
            <xm:f>OR(Maaned!$CC5="koloni")</xm:f>
            <x14:dxf>
              <font>
                <color theme="1"/>
              </font>
              <fill>
                <patternFill>
                  <bgColor theme="7" tint="0.79998168889431442"/>
                </patternFill>
              </fill>
            </x14:dxf>
          </x14:cfRule>
          <x14:cfRule type="expression" priority="35" id="{3AC5B847-64AC-6F47-A7FC-EE09B457538E}">
            <xm:f>OR(Maaned!$CC5="Pæd.dag")</xm:f>
            <x14:dxf>
              <font>
                <color theme="1"/>
              </font>
              <fill>
                <patternFill>
                  <bgColor rgb="FFFFC000"/>
                </patternFill>
              </fill>
            </x14:dxf>
          </x14:cfRule>
          <x14:cfRule type="expression" priority="36" id="{77BC88A4-260B-EB4C-8A37-16CBF0268677}">
            <xm:f>OR(Maaned!$CC5="Feriedag")</xm:f>
            <x14:dxf>
              <font>
                <color theme="1"/>
              </font>
              <fill>
                <patternFill>
                  <bgColor theme="9" tint="0.39994506668294322"/>
                </patternFill>
              </fill>
            </x14:dxf>
          </x14:cfRule>
          <x14:cfRule type="expression" priority="37" id="{85507F63-4DFD-6E49-8B75-9E4D528BBC14}">
            <xm:f>OR(Maaned!$CC5="Nul-dag")</xm:f>
            <x14:dxf>
              <font>
                <color theme="1"/>
              </font>
              <fill>
                <patternFill>
                  <bgColor theme="9" tint="0.79998168889431442"/>
                </patternFill>
              </fill>
            </x14:dxf>
          </x14:cfRule>
          <x14:cfRule type="expression" priority="38" stopIfTrue="1" id="{6645F58E-EC0C-EA4A-8474-1E0AD39325D5}">
            <xm:f>OR(Maaned!$CC5="Ikke relevant")</xm:f>
            <x14:dxf>
              <font>
                <color theme="0"/>
              </font>
              <fill>
                <patternFill patternType="solid">
                  <bgColor theme="1"/>
                </patternFill>
              </fill>
            </x14:dxf>
          </x14:cfRule>
          <xm:sqref>Z3:AD33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pageSetUpPr fitToPage="1"/>
  </sheetPr>
  <dimension ref="A1:H28"/>
  <sheetViews>
    <sheetView workbookViewId="0">
      <selection activeCell="A14" sqref="A14:E15"/>
    </sheetView>
  </sheetViews>
  <sheetFormatPr baseColWidth="10" defaultRowHeight="16"/>
  <cols>
    <col min="6" max="6" width="11.42578125" bestFit="1" customWidth="1"/>
  </cols>
  <sheetData>
    <row r="1" spans="1:8" ht="24">
      <c r="A1" s="769" t="s">
        <v>119</v>
      </c>
      <c r="B1" s="770"/>
      <c r="C1" s="770"/>
      <c r="D1" s="770"/>
      <c r="E1" s="770"/>
      <c r="F1" s="770"/>
      <c r="G1" s="771"/>
    </row>
    <row r="2" spans="1:8" ht="18">
      <c r="A2" s="787" t="s">
        <v>120</v>
      </c>
      <c r="B2" s="788"/>
      <c r="C2" s="789"/>
      <c r="D2" s="790" t="s">
        <v>265</v>
      </c>
      <c r="E2" s="791"/>
      <c r="F2" s="791"/>
      <c r="G2" s="792"/>
    </row>
    <row r="3" spans="1:8">
      <c r="A3" s="772" t="s">
        <v>251</v>
      </c>
      <c r="B3" s="755"/>
      <c r="C3" s="755"/>
      <c r="D3" s="773"/>
      <c r="E3" s="774"/>
      <c r="F3" s="774"/>
      <c r="G3" s="775"/>
    </row>
    <row r="4" spans="1:8">
      <c r="A4" s="754" t="s">
        <v>122</v>
      </c>
      <c r="B4" s="755"/>
      <c r="C4" s="755"/>
      <c r="D4" s="773"/>
      <c r="E4" s="774"/>
      <c r="F4" s="774"/>
      <c r="G4" s="775"/>
    </row>
    <row r="5" spans="1:8">
      <c r="A5" s="793" t="s">
        <v>123</v>
      </c>
      <c r="B5" s="794"/>
      <c r="C5" s="795"/>
      <c r="D5" s="802" t="s">
        <v>124</v>
      </c>
      <c r="E5" s="803"/>
      <c r="F5" s="802" t="s">
        <v>125</v>
      </c>
      <c r="G5" s="804"/>
    </row>
    <row r="6" spans="1:8">
      <c r="A6" s="796"/>
      <c r="B6" s="797"/>
      <c r="C6" s="798"/>
      <c r="D6" s="805" t="s">
        <v>126</v>
      </c>
      <c r="E6" s="806"/>
      <c r="F6" s="805" t="s">
        <v>126</v>
      </c>
      <c r="G6" s="807"/>
    </row>
    <row r="7" spans="1:8" ht="22" customHeight="1">
      <c r="A7" s="799"/>
      <c r="B7" s="800"/>
      <c r="C7" s="801"/>
      <c r="D7" s="808"/>
      <c r="E7" s="809"/>
      <c r="F7" s="808"/>
      <c r="G7" s="810"/>
    </row>
    <row r="8" spans="1:8" ht="20" customHeight="1" thickBot="1">
      <c r="A8" s="759" t="s">
        <v>127</v>
      </c>
      <c r="B8" s="760"/>
      <c r="C8" s="760"/>
      <c r="D8" s="544"/>
      <c r="E8" s="776"/>
      <c r="F8" s="777"/>
      <c r="G8" s="778"/>
    </row>
    <row r="9" spans="1:8" ht="31" customHeight="1" thickBot="1">
      <c r="A9" s="437"/>
      <c r="B9" s="438"/>
      <c r="C9" s="439"/>
      <c r="D9" s="439"/>
      <c r="E9" s="440"/>
      <c r="F9" s="440"/>
      <c r="G9" s="440"/>
      <c r="H9" s="440"/>
    </row>
    <row r="10" spans="1:8">
      <c r="A10" s="731" t="s">
        <v>129</v>
      </c>
      <c r="B10" s="732"/>
      <c r="C10" s="732"/>
      <c r="D10" s="732"/>
      <c r="E10" s="732"/>
      <c r="F10" s="732"/>
      <c r="G10" s="733"/>
    </row>
    <row r="11" spans="1:8" ht="16" customHeight="1">
      <c r="A11" s="734"/>
      <c r="B11" s="735"/>
      <c r="C11" s="735"/>
      <c r="D11" s="735"/>
      <c r="E11" s="735"/>
      <c r="F11" s="735"/>
      <c r="G11" s="736"/>
    </row>
    <row r="12" spans="1:8" ht="17">
      <c r="A12" s="737" t="s">
        <v>26</v>
      </c>
      <c r="B12" s="738"/>
      <c r="C12" s="738"/>
      <c r="D12" s="738"/>
      <c r="E12" s="739"/>
      <c r="F12" s="445" t="s">
        <v>27</v>
      </c>
      <c r="G12" s="446" t="s">
        <v>28</v>
      </c>
    </row>
    <row r="13" spans="1:8" ht="17">
      <c r="A13" s="740"/>
      <c r="B13" s="741"/>
      <c r="C13" s="741"/>
      <c r="D13" s="741"/>
      <c r="E13" s="742"/>
      <c r="F13" s="443" t="s">
        <v>29</v>
      </c>
      <c r="G13" s="444"/>
      <c r="H13" s="442" t="str">
        <f>IF(AND($D$8&gt;0,LEN(CONCATENATE($F$13,$G$13,))&lt;&gt;1),"OBS der SKAL sættes et kryds","")</f>
        <v/>
      </c>
    </row>
    <row r="14" spans="1:8">
      <c r="A14" s="743" t="s">
        <v>266</v>
      </c>
      <c r="B14" s="738"/>
      <c r="C14" s="738"/>
      <c r="D14" s="738"/>
      <c r="E14" s="738"/>
      <c r="F14" s="746"/>
      <c r="G14" s="747"/>
    </row>
    <row r="15" spans="1:8" ht="69" customHeight="1" thickBot="1">
      <c r="A15" s="744"/>
      <c r="B15" s="745"/>
      <c r="C15" s="745"/>
      <c r="D15" s="745"/>
      <c r="E15" s="745"/>
      <c r="F15" s="748"/>
      <c r="G15" s="749"/>
    </row>
    <row r="16" spans="1:8" s="750" customFormat="1" ht="17" thickBot="1"/>
    <row r="17" spans="1:8" ht="24">
      <c r="A17" s="751" t="s">
        <v>30</v>
      </c>
      <c r="B17" s="752"/>
      <c r="C17" s="752"/>
      <c r="D17" s="752"/>
      <c r="E17" s="752"/>
      <c r="F17" s="752"/>
      <c r="G17" s="753"/>
    </row>
    <row r="18" spans="1:8">
      <c r="A18" s="725" t="s">
        <v>21</v>
      </c>
      <c r="B18" s="726"/>
      <c r="C18" s="726"/>
      <c r="D18" s="726"/>
      <c r="E18" s="726"/>
      <c r="F18" s="726"/>
      <c r="G18" s="727"/>
    </row>
    <row r="19" spans="1:8">
      <c r="A19" s="728"/>
      <c r="B19" s="729"/>
      <c r="C19" s="729"/>
      <c r="D19" s="729"/>
      <c r="E19" s="729"/>
      <c r="F19" s="729"/>
      <c r="G19" s="730"/>
    </row>
    <row r="20" spans="1:8" ht="35" customHeight="1">
      <c r="A20" s="764"/>
      <c r="B20" s="765"/>
      <c r="C20" s="765"/>
      <c r="D20" s="766" t="s">
        <v>22</v>
      </c>
      <c r="E20" s="766"/>
      <c r="F20" s="767" t="s">
        <v>128</v>
      </c>
      <c r="G20" s="768"/>
    </row>
    <row r="21" spans="1:8">
      <c r="A21" s="754" t="s">
        <v>19</v>
      </c>
      <c r="B21" s="755"/>
      <c r="C21" s="755"/>
      <c r="D21" s="756"/>
      <c r="E21" s="756"/>
      <c r="F21" s="757">
        <f>D21*7.4</f>
        <v>0</v>
      </c>
      <c r="G21" s="758"/>
    </row>
    <row r="22" spans="1:8">
      <c r="A22" s="754" t="s">
        <v>23</v>
      </c>
      <c r="B22" s="755"/>
      <c r="C22" s="755"/>
      <c r="D22" s="756"/>
      <c r="E22" s="756"/>
      <c r="F22" s="757">
        <f t="shared" ref="F22:F25" si="0">D22*7.4</f>
        <v>0</v>
      </c>
      <c r="G22" s="758"/>
    </row>
    <row r="23" spans="1:8" ht="17" customHeight="1">
      <c r="A23" s="754" t="s">
        <v>24</v>
      </c>
      <c r="B23" s="755"/>
      <c r="C23" s="755"/>
      <c r="D23" s="756"/>
      <c r="E23" s="756"/>
      <c r="F23" s="757">
        <f t="shared" si="0"/>
        <v>0</v>
      </c>
      <c r="G23" s="758"/>
    </row>
    <row r="24" spans="1:8" ht="15" customHeight="1">
      <c r="A24" s="754" t="s">
        <v>25</v>
      </c>
      <c r="B24" s="755"/>
      <c r="C24" s="755"/>
      <c r="D24" s="756"/>
      <c r="E24" s="756"/>
      <c r="F24" s="757">
        <f t="shared" si="0"/>
        <v>0</v>
      </c>
      <c r="G24" s="758"/>
      <c r="H24" s="442"/>
    </row>
    <row r="25" spans="1:8" ht="16" customHeight="1" thickBot="1">
      <c r="A25" s="759" t="s">
        <v>20</v>
      </c>
      <c r="B25" s="760"/>
      <c r="C25" s="760"/>
      <c r="D25" s="761">
        <f>D21-D22-D23-D24</f>
        <v>0</v>
      </c>
      <c r="E25" s="761"/>
      <c r="F25" s="762">
        <f t="shared" si="0"/>
        <v>0</v>
      </c>
      <c r="G25" s="763"/>
      <c r="H25" s="80"/>
    </row>
    <row r="26" spans="1:8" ht="16" customHeight="1" thickBot="1">
      <c r="H26" s="441" t="s">
        <v>29</v>
      </c>
    </row>
    <row r="27" spans="1:8" ht="20" customHeight="1">
      <c r="A27" s="779" t="str">
        <f>"Antal arbejdstimer der for "&amp;D4&amp;" skal planlægges med:"</f>
        <v>Antal arbejdstimer der for  skal planlægges med:</v>
      </c>
      <c r="B27" s="780"/>
      <c r="C27" s="780"/>
      <c r="D27" s="780"/>
      <c r="E27" s="780"/>
      <c r="F27" s="783">
        <f>IF(F13&gt;0,$F$25*$D$8,F14*$D$8)</f>
        <v>0</v>
      </c>
      <c r="G27" s="784"/>
    </row>
    <row r="28" spans="1:8" ht="25" customHeight="1" thickBot="1">
      <c r="A28" s="781"/>
      <c r="B28" s="782"/>
      <c r="C28" s="782"/>
      <c r="D28" s="782"/>
      <c r="E28" s="782"/>
      <c r="F28" s="785"/>
      <c r="G28" s="786"/>
    </row>
  </sheetData>
  <sheetProtection sheet="1" objects="1" scenarios="1"/>
  <mergeCells count="43">
    <mergeCell ref="E8:G8"/>
    <mergeCell ref="A8:C8"/>
    <mergeCell ref="A27:E28"/>
    <mergeCell ref="F27:G28"/>
    <mergeCell ref="A2:C2"/>
    <mergeCell ref="D2:G2"/>
    <mergeCell ref="A5:C7"/>
    <mergeCell ref="D5:E5"/>
    <mergeCell ref="F5:G5"/>
    <mergeCell ref="D6:E6"/>
    <mergeCell ref="F6:G6"/>
    <mergeCell ref="D7:E7"/>
    <mergeCell ref="F7:G7"/>
    <mergeCell ref="A22:C22"/>
    <mergeCell ref="D22:E22"/>
    <mergeCell ref="F22:G22"/>
    <mergeCell ref="A1:G1"/>
    <mergeCell ref="A3:C3"/>
    <mergeCell ref="D3:G3"/>
    <mergeCell ref="A4:C4"/>
    <mergeCell ref="D4:G4"/>
    <mergeCell ref="A23:C23"/>
    <mergeCell ref="D23:E23"/>
    <mergeCell ref="F23:G23"/>
    <mergeCell ref="A20:C20"/>
    <mergeCell ref="D20:E20"/>
    <mergeCell ref="F20:G20"/>
    <mergeCell ref="A21:C21"/>
    <mergeCell ref="D21:E21"/>
    <mergeCell ref="F21:G21"/>
    <mergeCell ref="A24:C24"/>
    <mergeCell ref="D24:E24"/>
    <mergeCell ref="F24:G24"/>
    <mergeCell ref="A25:C25"/>
    <mergeCell ref="D25:E25"/>
    <mergeCell ref="F25:G25"/>
    <mergeCell ref="A18:G19"/>
    <mergeCell ref="A10:G11"/>
    <mergeCell ref="A12:E13"/>
    <mergeCell ref="A14:E15"/>
    <mergeCell ref="F14:G15"/>
    <mergeCell ref="A16:XFD16"/>
    <mergeCell ref="A17:G17"/>
  </mergeCells>
  <phoneticPr fontId="16" type="noConversion"/>
  <dataValidations count="3">
    <dataValidation type="list" allowBlank="1" showInputMessage="1" showErrorMessage="1" sqref="F13" xr:uid="{00000000-0002-0000-0500-000001000000}">
      <formula1>$H$25:$H$26</formula1>
    </dataValidation>
    <dataValidation allowBlank="1" showInputMessage="1" showErrorMessage="1" promptTitle="OBS" prompt="Skriv kun i denne celle såfremt skolen ikke har overenskomst med BUPL eller følger denne." sqref="F14" xr:uid="{00000000-0002-0000-0500-000002000000}"/>
    <dataValidation type="list" allowBlank="1" showInputMessage="1" showErrorMessage="1" promptTitle="VIGTIGT" prompt="Skriv den aftalte årsnorm i den gule celle herunder._x000a_" sqref="G13" xr:uid="{00000000-0002-0000-0500-000000000000}">
      <formula1>$H$25:$H$26</formula1>
    </dataValidation>
  </dataValidations>
  <pageMargins left="0.75" right="0.75" top="1" bottom="1" header="0.5" footer="0.5"/>
  <pageSetup scale="95" orientation="portrait" horizontalDpi="4294967292" verticalDpi="429496729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8" tint="0.79998168889431442"/>
    <pageSetUpPr fitToPage="1"/>
  </sheetPr>
  <dimension ref="A1:CN36"/>
  <sheetViews>
    <sheetView showGridLines="0" workbookViewId="0">
      <selection activeCell="P4" sqref="P1:P1048576"/>
    </sheetView>
  </sheetViews>
  <sheetFormatPr baseColWidth="10" defaultColWidth="11.5703125" defaultRowHeight="16"/>
  <cols>
    <col min="1" max="1" width="8.140625" style="7" customWidth="1"/>
    <col min="2" max="8" width="5.7109375" style="7" customWidth="1"/>
    <col min="9" max="9" width="8.140625" style="7" customWidth="1"/>
    <col min="10" max="11" width="5.5703125" style="7" customWidth="1"/>
    <col min="12" max="16" width="5.7109375" style="7" customWidth="1"/>
    <col min="17" max="17" width="8.140625" style="7" customWidth="1"/>
    <col min="18" max="19" width="5.5703125" style="7" customWidth="1"/>
    <col min="20" max="24" width="5.7109375" style="7" customWidth="1"/>
    <col min="25" max="25" width="8.140625" style="7" customWidth="1"/>
    <col min="26" max="26" width="6.5703125" style="7" customWidth="1"/>
    <col min="27" max="27" width="5.5703125" style="7" customWidth="1"/>
    <col min="28" max="32" width="5.7109375" style="7" customWidth="1"/>
    <col min="33" max="33" width="8.140625" style="7" customWidth="1"/>
    <col min="34" max="35" width="5.5703125" style="7" customWidth="1"/>
    <col min="36" max="40" width="5.7109375" style="7" customWidth="1"/>
    <col min="41" max="41" width="8.140625" style="7" customWidth="1"/>
    <col min="42" max="43" width="5.5703125" style="7" customWidth="1"/>
    <col min="44" max="48" width="5.7109375" style="7" customWidth="1"/>
    <col min="49" max="49" width="8.140625" style="7" customWidth="1"/>
    <col min="50" max="51" width="5.5703125" style="7" customWidth="1"/>
    <col min="52" max="56" width="5.7109375" style="7" customWidth="1"/>
    <col min="57" max="57" width="8.140625" style="7" customWidth="1"/>
    <col min="58" max="59" width="5.5703125" style="7" customWidth="1"/>
    <col min="60" max="64" width="5.7109375" style="7" customWidth="1"/>
    <col min="65" max="65" width="8.140625" style="7" customWidth="1"/>
    <col min="66" max="67" width="5.5703125" style="7" customWidth="1"/>
    <col min="68" max="72" width="5.7109375" style="7" customWidth="1"/>
    <col min="73" max="73" width="8.140625" style="7" customWidth="1"/>
    <col min="74" max="75" width="5.5703125" style="7" customWidth="1"/>
    <col min="76" max="80" width="5.7109375" style="7" customWidth="1"/>
    <col min="81" max="81" width="8.140625" style="7" customWidth="1"/>
    <col min="82" max="83" width="5.5703125" style="7" customWidth="1"/>
    <col min="84" max="90" width="5.7109375" style="7" customWidth="1"/>
    <col min="91" max="16384" width="11.5703125" style="7"/>
  </cols>
  <sheetData>
    <row r="1" spans="1:91" ht="19" customHeight="1" thickBot="1">
      <c r="A1" s="872" t="s">
        <v>186</v>
      </c>
      <c r="B1" s="873"/>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873"/>
      <c r="AN1" s="873"/>
      <c r="AO1" s="873"/>
      <c r="AP1" s="873"/>
      <c r="AQ1" s="873"/>
      <c r="AR1" s="873"/>
      <c r="AS1" s="873"/>
      <c r="AT1" s="873"/>
      <c r="AU1" s="873"/>
      <c r="AV1" s="873"/>
      <c r="AW1" s="873"/>
      <c r="AX1" s="873"/>
      <c r="AY1" s="873"/>
      <c r="AZ1" s="873"/>
      <c r="BA1" s="873"/>
      <c r="BB1" s="873"/>
      <c r="BC1" s="873"/>
      <c r="BD1" s="873"/>
      <c r="BE1" s="873"/>
      <c r="BF1" s="873"/>
      <c r="BG1" s="873"/>
      <c r="BH1" s="873"/>
      <c r="BI1" s="873"/>
      <c r="BJ1" s="873"/>
      <c r="BK1" s="873"/>
      <c r="BL1" s="873"/>
      <c r="BM1" s="873"/>
      <c r="BN1" s="873"/>
      <c r="BO1" s="873"/>
      <c r="BP1" s="873"/>
      <c r="BQ1" s="873"/>
      <c r="BR1" s="873"/>
      <c r="BS1" s="873"/>
      <c r="BT1" s="873"/>
      <c r="BU1" s="873"/>
      <c r="BV1" s="873"/>
      <c r="BW1" s="873"/>
      <c r="BX1" s="873"/>
      <c r="BY1" s="873"/>
      <c r="BZ1" s="873"/>
      <c r="CA1" s="873"/>
      <c r="CB1" s="873"/>
      <c r="CC1" s="873"/>
      <c r="CD1" s="873"/>
      <c r="CE1" s="873"/>
      <c r="CF1" s="873"/>
      <c r="CG1" s="873"/>
      <c r="CH1" s="873"/>
      <c r="CI1" s="873"/>
      <c r="CJ1" s="873"/>
      <c r="CK1" s="873"/>
      <c r="CL1" s="874"/>
    </row>
    <row r="2" spans="1:91" ht="49" customHeight="1" thickBot="1">
      <c r="A2" s="811" t="s">
        <v>275</v>
      </c>
      <c r="B2" s="812"/>
      <c r="C2" s="812"/>
      <c r="D2" s="812"/>
      <c r="E2" s="812"/>
      <c r="F2" s="812"/>
      <c r="G2" s="812"/>
      <c r="H2" s="813"/>
      <c r="I2" s="811" t="str">
        <f>A2</f>
        <v>Her kan der skelnes mellem kerneopgaver og andre opgaver. Andre opgaver kan være møder eller lign.</v>
      </c>
      <c r="J2" s="812"/>
      <c r="K2" s="812"/>
      <c r="L2" s="812"/>
      <c r="M2" s="812"/>
      <c r="N2" s="812"/>
      <c r="O2" s="812"/>
      <c r="P2" s="813"/>
      <c r="Q2" s="811" t="str">
        <f>I2</f>
        <v>Her kan der skelnes mellem kerneopgaver og andre opgaver. Andre opgaver kan være møder eller lign.</v>
      </c>
      <c r="R2" s="812"/>
      <c r="S2" s="812"/>
      <c r="T2" s="812"/>
      <c r="U2" s="812"/>
      <c r="V2" s="812"/>
      <c r="W2" s="812"/>
      <c r="X2" s="813"/>
      <c r="Y2" s="811" t="str">
        <f>Q2</f>
        <v>Her kan der skelnes mellem kerneopgaver og andre opgaver. Andre opgaver kan være møder eller lign.</v>
      </c>
      <c r="Z2" s="812"/>
      <c r="AA2" s="812"/>
      <c r="AB2" s="812"/>
      <c r="AC2" s="812"/>
      <c r="AD2" s="812"/>
      <c r="AE2" s="812"/>
      <c r="AF2" s="813"/>
      <c r="AG2" s="811" t="str">
        <f>Y2</f>
        <v>Her kan der skelnes mellem kerneopgaver og andre opgaver. Andre opgaver kan være møder eller lign.</v>
      </c>
      <c r="AH2" s="812"/>
      <c r="AI2" s="812"/>
      <c r="AJ2" s="812"/>
      <c r="AK2" s="812"/>
      <c r="AL2" s="812"/>
      <c r="AM2" s="812"/>
      <c r="AN2" s="813"/>
      <c r="AO2" s="811" t="str">
        <f>AG2</f>
        <v>Her kan der skelnes mellem kerneopgaver og andre opgaver. Andre opgaver kan være møder eller lign.</v>
      </c>
      <c r="AP2" s="812"/>
      <c r="AQ2" s="812"/>
      <c r="AR2" s="812"/>
      <c r="AS2" s="812"/>
      <c r="AT2" s="812"/>
      <c r="AU2" s="812"/>
      <c r="AV2" s="813"/>
      <c r="AW2" s="811" t="str">
        <f>AO2</f>
        <v>Her kan der skelnes mellem kerneopgaver og andre opgaver. Andre opgaver kan være møder eller lign.</v>
      </c>
      <c r="AX2" s="812"/>
      <c r="AY2" s="812"/>
      <c r="AZ2" s="812"/>
      <c r="BA2" s="812"/>
      <c r="BB2" s="812"/>
      <c r="BC2" s="812"/>
      <c r="BD2" s="813"/>
      <c r="BE2" s="811" t="str">
        <f>AW2</f>
        <v>Her kan der skelnes mellem kerneopgaver og andre opgaver. Andre opgaver kan være møder eller lign.</v>
      </c>
      <c r="BF2" s="812"/>
      <c r="BG2" s="812"/>
      <c r="BH2" s="812"/>
      <c r="BI2" s="812"/>
      <c r="BJ2" s="812"/>
      <c r="BK2" s="812"/>
      <c r="BL2" s="813"/>
      <c r="BM2" s="811" t="str">
        <f>BE2</f>
        <v>Her kan der skelnes mellem kerneopgaver og andre opgaver. Andre opgaver kan være møder eller lign.</v>
      </c>
      <c r="BN2" s="812"/>
      <c r="BO2" s="812"/>
      <c r="BP2" s="812"/>
      <c r="BQ2" s="812"/>
      <c r="BR2" s="812"/>
      <c r="BS2" s="812"/>
      <c r="BT2" s="813"/>
      <c r="BU2" s="811" t="str">
        <f>BE2</f>
        <v>Her kan der skelnes mellem kerneopgaver og andre opgaver. Andre opgaver kan være møder eller lign.</v>
      </c>
      <c r="BV2" s="812"/>
      <c r="BW2" s="812"/>
      <c r="BX2" s="812"/>
      <c r="BY2" s="812"/>
      <c r="BZ2" s="812"/>
      <c r="CA2" s="812"/>
      <c r="CB2" s="813"/>
      <c r="CC2" s="875" t="s">
        <v>276</v>
      </c>
      <c r="CD2" s="876"/>
      <c r="CE2" s="876"/>
      <c r="CF2" s="876"/>
      <c r="CG2" s="876"/>
      <c r="CH2" s="876"/>
      <c r="CI2" s="876"/>
      <c r="CJ2" s="876"/>
      <c r="CK2" s="876"/>
      <c r="CL2" s="877"/>
    </row>
    <row r="3" spans="1:91" ht="15" customHeight="1" thickBot="1">
      <c r="A3" s="814" t="s">
        <v>134</v>
      </c>
      <c r="B3" s="815"/>
      <c r="C3" s="816"/>
      <c r="D3" s="817" t="s">
        <v>130</v>
      </c>
      <c r="E3" s="818"/>
      <c r="F3" s="818"/>
      <c r="G3" s="818"/>
      <c r="H3" s="819"/>
      <c r="I3" s="814" t="s">
        <v>134</v>
      </c>
      <c r="J3" s="815"/>
      <c r="K3" s="816"/>
      <c r="L3" s="817" t="s">
        <v>131</v>
      </c>
      <c r="M3" s="818"/>
      <c r="N3" s="818"/>
      <c r="O3" s="818"/>
      <c r="P3" s="819"/>
      <c r="Q3" s="814" t="s">
        <v>134</v>
      </c>
      <c r="R3" s="815"/>
      <c r="S3" s="816"/>
      <c r="T3" s="817" t="s">
        <v>90</v>
      </c>
      <c r="U3" s="818"/>
      <c r="V3" s="818"/>
      <c r="W3" s="818"/>
      <c r="X3" s="819"/>
      <c r="Y3" s="814" t="s">
        <v>134</v>
      </c>
      <c r="Z3" s="815"/>
      <c r="AA3" s="816"/>
      <c r="AB3" s="817" t="s">
        <v>93</v>
      </c>
      <c r="AC3" s="818"/>
      <c r="AD3" s="818"/>
      <c r="AE3" s="818"/>
      <c r="AF3" s="819"/>
      <c r="AG3" s="814" t="s">
        <v>134</v>
      </c>
      <c r="AH3" s="815"/>
      <c r="AI3" s="816"/>
      <c r="AJ3" s="817" t="s">
        <v>92</v>
      </c>
      <c r="AK3" s="818"/>
      <c r="AL3" s="818"/>
      <c r="AM3" s="818"/>
      <c r="AN3" s="819"/>
      <c r="AO3" s="814" t="s">
        <v>134</v>
      </c>
      <c r="AP3" s="815"/>
      <c r="AQ3" s="816"/>
      <c r="AR3" s="817" t="s">
        <v>91</v>
      </c>
      <c r="AS3" s="818"/>
      <c r="AT3" s="818"/>
      <c r="AU3" s="818"/>
      <c r="AV3" s="819"/>
      <c r="AW3" s="814" t="s">
        <v>134</v>
      </c>
      <c r="AX3" s="815"/>
      <c r="AY3" s="816"/>
      <c r="AZ3" s="817" t="s">
        <v>196</v>
      </c>
      <c r="BA3" s="818"/>
      <c r="BB3" s="818"/>
      <c r="BC3" s="818"/>
      <c r="BD3" s="819"/>
      <c r="BE3" s="814" t="s">
        <v>134</v>
      </c>
      <c r="BF3" s="815"/>
      <c r="BG3" s="816"/>
      <c r="BH3" s="817" t="s">
        <v>197</v>
      </c>
      <c r="BI3" s="818"/>
      <c r="BJ3" s="818"/>
      <c r="BK3" s="818"/>
      <c r="BL3" s="819"/>
      <c r="BM3" s="814" t="s">
        <v>134</v>
      </c>
      <c r="BN3" s="815"/>
      <c r="BO3" s="816"/>
      <c r="BP3" s="817" t="s">
        <v>198</v>
      </c>
      <c r="BQ3" s="818"/>
      <c r="BR3" s="818"/>
      <c r="BS3" s="818"/>
      <c r="BT3" s="819"/>
      <c r="BU3" s="814" t="s">
        <v>134</v>
      </c>
      <c r="BV3" s="815"/>
      <c r="BW3" s="816"/>
      <c r="BX3" s="817" t="s">
        <v>199</v>
      </c>
      <c r="BY3" s="818"/>
      <c r="BZ3" s="818"/>
      <c r="CA3" s="818"/>
      <c r="CB3" s="819"/>
      <c r="CC3" s="814" t="s">
        <v>134</v>
      </c>
      <c r="CD3" s="815"/>
      <c r="CE3" s="816"/>
      <c r="CF3" s="850" t="s">
        <v>78</v>
      </c>
      <c r="CG3" s="818"/>
      <c r="CH3" s="818"/>
      <c r="CI3" s="818"/>
      <c r="CJ3" s="818"/>
      <c r="CK3" s="818"/>
      <c r="CL3" s="819"/>
    </row>
    <row r="4" spans="1:91" ht="17" customHeight="1" thickBot="1">
      <c r="A4" s="841" t="s">
        <v>135</v>
      </c>
      <c r="B4" s="842"/>
      <c r="C4" s="843"/>
      <c r="D4" s="450" t="s">
        <v>151</v>
      </c>
      <c r="E4" s="253" t="s">
        <v>152</v>
      </c>
      <c r="F4" s="468" t="s">
        <v>153</v>
      </c>
      <c r="G4" s="255" t="s">
        <v>154</v>
      </c>
      <c r="H4" s="473" t="s">
        <v>155</v>
      </c>
      <c r="I4" s="841" t="s">
        <v>135</v>
      </c>
      <c r="J4" s="842"/>
      <c r="K4" s="843"/>
      <c r="L4" s="450" t="s">
        <v>151</v>
      </c>
      <c r="M4" s="253" t="s">
        <v>152</v>
      </c>
      <c r="N4" s="468" t="s">
        <v>153</v>
      </c>
      <c r="O4" s="255" t="s">
        <v>154</v>
      </c>
      <c r="P4" s="473" t="s">
        <v>155</v>
      </c>
      <c r="Q4" s="841" t="s">
        <v>135</v>
      </c>
      <c r="R4" s="842"/>
      <c r="S4" s="843"/>
      <c r="T4" s="450" t="s">
        <v>151</v>
      </c>
      <c r="U4" s="253" t="s">
        <v>152</v>
      </c>
      <c r="V4" s="468" t="s">
        <v>153</v>
      </c>
      <c r="W4" s="255" t="s">
        <v>154</v>
      </c>
      <c r="X4" s="473" t="s">
        <v>155</v>
      </c>
      <c r="Y4" s="841" t="s">
        <v>135</v>
      </c>
      <c r="Z4" s="842"/>
      <c r="AA4" s="843"/>
      <c r="AB4" s="450" t="s">
        <v>151</v>
      </c>
      <c r="AC4" s="253" t="s">
        <v>152</v>
      </c>
      <c r="AD4" s="468" t="s">
        <v>153</v>
      </c>
      <c r="AE4" s="255" t="s">
        <v>154</v>
      </c>
      <c r="AF4" s="473" t="s">
        <v>155</v>
      </c>
      <c r="AG4" s="841" t="s">
        <v>135</v>
      </c>
      <c r="AH4" s="842"/>
      <c r="AI4" s="843"/>
      <c r="AJ4" s="450" t="s">
        <v>151</v>
      </c>
      <c r="AK4" s="253" t="s">
        <v>152</v>
      </c>
      <c r="AL4" s="468" t="s">
        <v>153</v>
      </c>
      <c r="AM4" s="255" t="s">
        <v>154</v>
      </c>
      <c r="AN4" s="473" t="s">
        <v>155</v>
      </c>
      <c r="AO4" s="841" t="s">
        <v>135</v>
      </c>
      <c r="AP4" s="842"/>
      <c r="AQ4" s="843"/>
      <c r="AR4" s="450" t="s">
        <v>151</v>
      </c>
      <c r="AS4" s="253" t="s">
        <v>152</v>
      </c>
      <c r="AT4" s="468" t="s">
        <v>153</v>
      </c>
      <c r="AU4" s="255" t="s">
        <v>154</v>
      </c>
      <c r="AV4" s="473" t="s">
        <v>155</v>
      </c>
      <c r="AW4" s="841" t="s">
        <v>135</v>
      </c>
      <c r="AX4" s="842"/>
      <c r="AY4" s="843"/>
      <c r="AZ4" s="450" t="s">
        <v>151</v>
      </c>
      <c r="BA4" s="253" t="s">
        <v>152</v>
      </c>
      <c r="BB4" s="468" t="s">
        <v>153</v>
      </c>
      <c r="BC4" s="255" t="s">
        <v>154</v>
      </c>
      <c r="BD4" s="473" t="s">
        <v>155</v>
      </c>
      <c r="BE4" s="841" t="s">
        <v>135</v>
      </c>
      <c r="BF4" s="842"/>
      <c r="BG4" s="843"/>
      <c r="BH4" s="450" t="s">
        <v>151</v>
      </c>
      <c r="BI4" s="253" t="s">
        <v>152</v>
      </c>
      <c r="BJ4" s="468" t="s">
        <v>153</v>
      </c>
      <c r="BK4" s="255" t="s">
        <v>154</v>
      </c>
      <c r="BL4" s="473" t="s">
        <v>155</v>
      </c>
      <c r="BM4" s="841" t="s">
        <v>135</v>
      </c>
      <c r="BN4" s="842"/>
      <c r="BO4" s="843"/>
      <c r="BP4" s="450" t="s">
        <v>151</v>
      </c>
      <c r="BQ4" s="253" t="s">
        <v>152</v>
      </c>
      <c r="BR4" s="468" t="s">
        <v>153</v>
      </c>
      <c r="BS4" s="255" t="s">
        <v>154</v>
      </c>
      <c r="BT4" s="473" t="s">
        <v>155</v>
      </c>
      <c r="BU4" s="841" t="s">
        <v>135</v>
      </c>
      <c r="BV4" s="842"/>
      <c r="BW4" s="843"/>
      <c r="BX4" s="450" t="s">
        <v>151</v>
      </c>
      <c r="BY4" s="253" t="s">
        <v>152</v>
      </c>
      <c r="BZ4" s="468" t="s">
        <v>153</v>
      </c>
      <c r="CA4" s="255" t="s">
        <v>154</v>
      </c>
      <c r="CB4" s="473" t="s">
        <v>155</v>
      </c>
      <c r="CC4" s="841" t="s">
        <v>135</v>
      </c>
      <c r="CD4" s="842"/>
      <c r="CE4" s="843"/>
      <c r="CF4" s="450" t="s">
        <v>151</v>
      </c>
      <c r="CG4" s="253" t="s">
        <v>152</v>
      </c>
      <c r="CH4" s="468" t="s">
        <v>153</v>
      </c>
      <c r="CI4" s="255" t="s">
        <v>154</v>
      </c>
      <c r="CJ4" s="473" t="s">
        <v>155</v>
      </c>
      <c r="CK4" s="448" t="s">
        <v>156</v>
      </c>
      <c r="CL4" s="449" t="s">
        <v>157</v>
      </c>
    </row>
    <row r="5" spans="1:91" ht="17" thickBot="1">
      <c r="A5" s="859" t="s">
        <v>132</v>
      </c>
      <c r="B5" s="860"/>
      <c r="C5" s="861"/>
      <c r="D5" s="638">
        <f>Maaned!CJ37</f>
        <v>50</v>
      </c>
      <c r="E5" s="639">
        <f>Maaned!CJ38</f>
        <v>52</v>
      </c>
      <c r="F5" s="639">
        <f>Maaned!CJ39</f>
        <v>52</v>
      </c>
      <c r="G5" s="639">
        <f>Maaned!CJ40</f>
        <v>50</v>
      </c>
      <c r="H5" s="640">
        <f>Maaned!CJ41</f>
        <v>50</v>
      </c>
      <c r="I5" s="820" t="s">
        <v>132</v>
      </c>
      <c r="J5" s="821"/>
      <c r="K5" s="822"/>
      <c r="L5" s="638">
        <f>Maaned!CJ43</f>
        <v>0</v>
      </c>
      <c r="M5" s="639">
        <f>Maaned!CJ44</f>
        <v>0</v>
      </c>
      <c r="N5" s="639">
        <f>Maaned!CJ45</f>
        <v>0</v>
      </c>
      <c r="O5" s="639">
        <f>Maaned!CJ46</f>
        <v>0</v>
      </c>
      <c r="P5" s="640">
        <f>Maaned!CJ47</f>
        <v>0</v>
      </c>
      <c r="Q5" s="820" t="s">
        <v>132</v>
      </c>
      <c r="R5" s="821"/>
      <c r="S5" s="822"/>
      <c r="T5" s="638">
        <f>Maaned!CJ49</f>
        <v>0</v>
      </c>
      <c r="U5" s="639">
        <f>Maaned!CJ50</f>
        <v>0</v>
      </c>
      <c r="V5" s="639">
        <f>Maaned!CJ51</f>
        <v>0</v>
      </c>
      <c r="W5" s="639">
        <f>Maaned!CJ52</f>
        <v>0</v>
      </c>
      <c r="X5" s="640">
        <f>Maaned!CJ53</f>
        <v>0</v>
      </c>
      <c r="Y5" s="820" t="s">
        <v>132</v>
      </c>
      <c r="Z5" s="821"/>
      <c r="AA5" s="822"/>
      <c r="AB5" s="638">
        <f>Maaned!CJ55</f>
        <v>0</v>
      </c>
      <c r="AC5" s="639">
        <f>Maaned!CJ56</f>
        <v>0</v>
      </c>
      <c r="AD5" s="639">
        <f>Maaned!CJ57</f>
        <v>0</v>
      </c>
      <c r="AE5" s="639">
        <f>Maaned!CJ58</f>
        <v>0</v>
      </c>
      <c r="AF5" s="640">
        <f>Maaned!CJ59</f>
        <v>0</v>
      </c>
      <c r="AG5" s="820" t="s">
        <v>132</v>
      </c>
      <c r="AH5" s="821"/>
      <c r="AI5" s="822"/>
      <c r="AJ5" s="638">
        <f>Maaned!CJ61</f>
        <v>0</v>
      </c>
      <c r="AK5" s="639">
        <f>Maaned!CJ62</f>
        <v>0</v>
      </c>
      <c r="AL5" s="639">
        <f>Maaned!CJ63</f>
        <v>0</v>
      </c>
      <c r="AM5" s="639">
        <f>Maaned!CJ64</f>
        <v>0</v>
      </c>
      <c r="AN5" s="640">
        <f>Maaned!CJ65</f>
        <v>0</v>
      </c>
      <c r="AO5" s="820" t="s">
        <v>132</v>
      </c>
      <c r="AP5" s="821"/>
      <c r="AQ5" s="822"/>
      <c r="AR5" s="638">
        <f>Maaned!CJ67</f>
        <v>0</v>
      </c>
      <c r="AS5" s="639">
        <f>Maaned!CJ68</f>
        <v>0</v>
      </c>
      <c r="AT5" s="639">
        <f>Maaned!CJ69</f>
        <v>0</v>
      </c>
      <c r="AU5" s="639">
        <f>Maaned!CJ70</f>
        <v>0</v>
      </c>
      <c r="AV5" s="640">
        <f>Maaned!CJ71</f>
        <v>0</v>
      </c>
      <c r="AW5" s="820" t="s">
        <v>132</v>
      </c>
      <c r="AX5" s="821"/>
      <c r="AY5" s="822"/>
      <c r="AZ5" s="638">
        <f>Maaned!CJ73</f>
        <v>0</v>
      </c>
      <c r="BA5" s="639">
        <f>Maaned!CJ74</f>
        <v>0</v>
      </c>
      <c r="BB5" s="639">
        <f>Maaned!CJ75</f>
        <v>0</v>
      </c>
      <c r="BC5" s="639">
        <f>Maaned!CJ76</f>
        <v>0</v>
      </c>
      <c r="BD5" s="640">
        <f>Maaned!CJ77</f>
        <v>0</v>
      </c>
      <c r="BE5" s="820" t="s">
        <v>132</v>
      </c>
      <c r="BF5" s="821"/>
      <c r="BG5" s="822"/>
      <c r="BH5" s="638">
        <f>Maaned!CJ79</f>
        <v>0</v>
      </c>
      <c r="BI5" s="639">
        <f>Maaned!CJ80</f>
        <v>0</v>
      </c>
      <c r="BJ5" s="639">
        <f>Maaned!CJ81</f>
        <v>0</v>
      </c>
      <c r="BK5" s="639">
        <f>Maaned!CJ82</f>
        <v>0</v>
      </c>
      <c r="BL5" s="640">
        <f>Maaned!CJ83</f>
        <v>0</v>
      </c>
      <c r="BM5" s="820" t="s">
        <v>132</v>
      </c>
      <c r="BN5" s="821"/>
      <c r="BO5" s="822"/>
      <c r="BP5" s="638">
        <f>Maaned!CJ85</f>
        <v>0</v>
      </c>
      <c r="BQ5" s="639">
        <f>Maaned!CJ86</f>
        <v>0</v>
      </c>
      <c r="BR5" s="639">
        <f>Maaned!CJ87</f>
        <v>0</v>
      </c>
      <c r="BS5" s="639">
        <f>Maaned!CJ88</f>
        <v>0</v>
      </c>
      <c r="BT5" s="640">
        <f>Maaned!CJ89</f>
        <v>0</v>
      </c>
      <c r="BU5" s="820" t="s">
        <v>132</v>
      </c>
      <c r="BV5" s="821"/>
      <c r="BW5" s="822"/>
      <c r="BX5" s="638">
        <f>Maaned!CJ91</f>
        <v>0</v>
      </c>
      <c r="BY5" s="639">
        <f>Maaned!CJ92</f>
        <v>0</v>
      </c>
      <c r="BZ5" s="639">
        <f>Maaned!CJ93</f>
        <v>0</v>
      </c>
      <c r="CA5" s="639">
        <f>Maaned!CJ94</f>
        <v>0</v>
      </c>
      <c r="CB5" s="640">
        <f>Maaned!CJ95</f>
        <v>0</v>
      </c>
      <c r="CC5" s="820" t="s">
        <v>132</v>
      </c>
      <c r="CD5" s="821"/>
      <c r="CE5" s="822"/>
      <c r="CF5" s="638">
        <f>Maaned!CJ97</f>
        <v>0</v>
      </c>
      <c r="CG5" s="639">
        <f>Maaned!CJ98</f>
        <v>0</v>
      </c>
      <c r="CH5" s="639">
        <f>Maaned!CJ99</f>
        <v>0</v>
      </c>
      <c r="CI5" s="639">
        <f>Maaned!CJ100</f>
        <v>0</v>
      </c>
      <c r="CJ5" s="639">
        <f>Maaned!CJ101</f>
        <v>0</v>
      </c>
      <c r="CK5" s="641">
        <f>Maaned!CJ102</f>
        <v>0</v>
      </c>
      <c r="CL5" s="640">
        <f>Maaned!CJ103</f>
        <v>0</v>
      </c>
    </row>
    <row r="6" spans="1:91" ht="20" customHeight="1" thickBot="1">
      <c r="A6" s="451" t="s">
        <v>133</v>
      </c>
      <c r="B6" s="451" t="s">
        <v>180</v>
      </c>
      <c r="C6" s="451" t="s">
        <v>181</v>
      </c>
      <c r="D6" s="823" t="str">
        <f>L6</f>
        <v>K=Kerneopg. A=Andre faste opg.</v>
      </c>
      <c r="E6" s="824"/>
      <c r="F6" s="824"/>
      <c r="G6" s="824"/>
      <c r="H6" s="825"/>
      <c r="I6" s="451" t="s">
        <v>133</v>
      </c>
      <c r="J6" s="451" t="s">
        <v>180</v>
      </c>
      <c r="K6" s="451" t="s">
        <v>181</v>
      </c>
      <c r="L6" s="823" t="s">
        <v>188</v>
      </c>
      <c r="M6" s="824"/>
      <c r="N6" s="824"/>
      <c r="O6" s="824"/>
      <c r="P6" s="825"/>
      <c r="Q6" s="451" t="s">
        <v>133</v>
      </c>
      <c r="R6" s="451" t="s">
        <v>180</v>
      </c>
      <c r="S6" s="451" t="s">
        <v>181</v>
      </c>
      <c r="T6" s="823" t="str">
        <f>L6</f>
        <v>K=Kerneopg. A=Andre faste opg.</v>
      </c>
      <c r="U6" s="824"/>
      <c r="V6" s="824"/>
      <c r="W6" s="824"/>
      <c r="X6" s="825"/>
      <c r="Y6" s="451" t="s">
        <v>133</v>
      </c>
      <c r="Z6" s="451" t="s">
        <v>180</v>
      </c>
      <c r="AA6" s="451" t="s">
        <v>181</v>
      </c>
      <c r="AB6" s="823" t="str">
        <f>T6</f>
        <v>K=Kerneopg. A=Andre faste opg.</v>
      </c>
      <c r="AC6" s="824"/>
      <c r="AD6" s="824"/>
      <c r="AE6" s="824"/>
      <c r="AF6" s="825"/>
      <c r="AG6" s="451" t="s">
        <v>133</v>
      </c>
      <c r="AH6" s="451" t="s">
        <v>180</v>
      </c>
      <c r="AI6" s="451" t="s">
        <v>181</v>
      </c>
      <c r="AJ6" s="823" t="str">
        <f>AB6</f>
        <v>K=Kerneopg. A=Andre faste opg.</v>
      </c>
      <c r="AK6" s="824"/>
      <c r="AL6" s="824"/>
      <c r="AM6" s="824"/>
      <c r="AN6" s="825"/>
      <c r="AO6" s="451" t="s">
        <v>133</v>
      </c>
      <c r="AP6" s="451" t="s">
        <v>180</v>
      </c>
      <c r="AQ6" s="451" t="s">
        <v>181</v>
      </c>
      <c r="AR6" s="823" t="str">
        <f>AJ6</f>
        <v>K=Kerneopg. A=Andre faste opg.</v>
      </c>
      <c r="AS6" s="824"/>
      <c r="AT6" s="824"/>
      <c r="AU6" s="824"/>
      <c r="AV6" s="825"/>
      <c r="AW6" s="451" t="s">
        <v>133</v>
      </c>
      <c r="AX6" s="451" t="s">
        <v>180</v>
      </c>
      <c r="AY6" s="451" t="s">
        <v>181</v>
      </c>
      <c r="AZ6" s="823" t="str">
        <f>AR6</f>
        <v>K=Kerneopg. A=Andre faste opg.</v>
      </c>
      <c r="BA6" s="824"/>
      <c r="BB6" s="824"/>
      <c r="BC6" s="824"/>
      <c r="BD6" s="825"/>
      <c r="BE6" s="451" t="s">
        <v>133</v>
      </c>
      <c r="BF6" s="451" t="s">
        <v>180</v>
      </c>
      <c r="BG6" s="451" t="s">
        <v>181</v>
      </c>
      <c r="BH6" s="823" t="str">
        <f>AZ6</f>
        <v>K=Kerneopg. A=Andre faste opg.</v>
      </c>
      <c r="BI6" s="824"/>
      <c r="BJ6" s="824"/>
      <c r="BK6" s="824"/>
      <c r="BL6" s="825"/>
      <c r="BM6" s="451" t="s">
        <v>133</v>
      </c>
      <c r="BN6" s="451" t="s">
        <v>180</v>
      </c>
      <c r="BO6" s="451" t="s">
        <v>181</v>
      </c>
      <c r="BP6" s="823" t="str">
        <f>BH6</f>
        <v>K=Kerneopg. A=Andre faste opg.</v>
      </c>
      <c r="BQ6" s="824"/>
      <c r="BR6" s="824"/>
      <c r="BS6" s="824"/>
      <c r="BT6" s="825"/>
      <c r="BU6" s="451" t="s">
        <v>133</v>
      </c>
      <c r="BV6" s="451" t="s">
        <v>180</v>
      </c>
      <c r="BW6" s="451" t="s">
        <v>181</v>
      </c>
      <c r="BX6" s="823" t="str">
        <f>BP6</f>
        <v>K=Kerneopg. A=Andre faste opg.</v>
      </c>
      <c r="BY6" s="824"/>
      <c r="BZ6" s="824"/>
      <c r="CA6" s="824"/>
      <c r="CB6" s="825"/>
      <c r="CC6" s="451" t="s">
        <v>133</v>
      </c>
      <c r="CD6" s="451" t="s">
        <v>180</v>
      </c>
      <c r="CE6" s="451" t="s">
        <v>181</v>
      </c>
      <c r="CF6" s="823" t="str">
        <f>AR6</f>
        <v>K=Kerneopg. A=Andre faste opg.</v>
      </c>
      <c r="CG6" s="824"/>
      <c r="CH6" s="824"/>
      <c r="CI6" s="824"/>
      <c r="CJ6" s="824"/>
      <c r="CK6" s="824"/>
      <c r="CL6" s="825"/>
    </row>
    <row r="7" spans="1:91" ht="18" customHeight="1">
      <c r="A7" s="523"/>
      <c r="B7" s="521"/>
      <c r="C7" s="524">
        <f>B7+A7/24/60</f>
        <v>0</v>
      </c>
      <c r="D7" s="22"/>
      <c r="E7" s="27"/>
      <c r="F7" s="32"/>
      <c r="G7" s="37"/>
      <c r="H7" s="452"/>
      <c r="I7" s="523"/>
      <c r="J7" s="521"/>
      <c r="K7" s="524">
        <f>J7+I7/24/60</f>
        <v>0</v>
      </c>
      <c r="L7" s="22"/>
      <c r="M7" s="27"/>
      <c r="N7" s="32"/>
      <c r="O7" s="37"/>
      <c r="P7" s="42"/>
      <c r="Q7" s="523"/>
      <c r="R7" s="521"/>
      <c r="S7" s="524">
        <f>R7+Q7/24/60</f>
        <v>0</v>
      </c>
      <c r="T7" s="22"/>
      <c r="U7" s="27"/>
      <c r="V7" s="32"/>
      <c r="W7" s="37"/>
      <c r="X7" s="42"/>
      <c r="Y7" s="523"/>
      <c r="Z7" s="521"/>
      <c r="AA7" s="524">
        <f>Z7+Y7/24/60</f>
        <v>0</v>
      </c>
      <c r="AB7" s="22"/>
      <c r="AC7" s="27"/>
      <c r="AD7" s="32"/>
      <c r="AE7" s="37"/>
      <c r="AF7" s="42"/>
      <c r="AG7" s="523"/>
      <c r="AH7" s="521"/>
      <c r="AI7" s="524">
        <f>AH7+AG7/24/60</f>
        <v>0</v>
      </c>
      <c r="AJ7" s="22"/>
      <c r="AK7" s="27"/>
      <c r="AL7" s="32"/>
      <c r="AM7" s="37"/>
      <c r="AN7" s="42"/>
      <c r="AO7" s="523"/>
      <c r="AP7" s="521"/>
      <c r="AQ7" s="524">
        <f>AP7+AO7/24/60</f>
        <v>0</v>
      </c>
      <c r="AR7" s="22"/>
      <c r="AS7" s="27"/>
      <c r="AT7" s="32"/>
      <c r="AU7" s="37"/>
      <c r="AV7" s="42"/>
      <c r="AW7" s="523"/>
      <c r="AX7" s="521"/>
      <c r="AY7" s="524">
        <f>AX7+AW7/24/60</f>
        <v>0</v>
      </c>
      <c r="AZ7" s="22"/>
      <c r="BA7" s="27"/>
      <c r="BB7" s="32"/>
      <c r="BC7" s="37"/>
      <c r="BD7" s="42"/>
      <c r="BE7" s="523"/>
      <c r="BF7" s="521"/>
      <c r="BG7" s="524">
        <f>BF7+BE7/24/60</f>
        <v>0</v>
      </c>
      <c r="BH7" s="22"/>
      <c r="BI7" s="27"/>
      <c r="BJ7" s="32"/>
      <c r="BK7" s="37"/>
      <c r="BL7" s="42"/>
      <c r="BM7" s="523"/>
      <c r="BN7" s="521"/>
      <c r="BO7" s="524">
        <f>BN7+BM7/24/60</f>
        <v>0</v>
      </c>
      <c r="BP7" s="22"/>
      <c r="BQ7" s="27"/>
      <c r="BR7" s="32"/>
      <c r="BS7" s="37"/>
      <c r="BT7" s="42"/>
      <c r="BU7" s="523"/>
      <c r="BV7" s="521"/>
      <c r="BW7" s="524">
        <f>BV7+BU7/24/60</f>
        <v>0</v>
      </c>
      <c r="BX7" s="22"/>
      <c r="BY7" s="27"/>
      <c r="BZ7" s="32"/>
      <c r="CA7" s="37"/>
      <c r="CB7" s="42"/>
      <c r="CC7" s="523"/>
      <c r="CD7" s="521"/>
      <c r="CE7" s="524">
        <f>CD7+CC7/24/60</f>
        <v>0</v>
      </c>
      <c r="CF7" s="22"/>
      <c r="CG7" s="27"/>
      <c r="CH7" s="32"/>
      <c r="CI7" s="37"/>
      <c r="CJ7" s="42"/>
      <c r="CK7" s="447"/>
      <c r="CL7" s="5"/>
      <c r="CM7" s="541" t="s">
        <v>136</v>
      </c>
    </row>
    <row r="8" spans="1:91" ht="18" customHeight="1">
      <c r="A8" s="525"/>
      <c r="B8" s="522">
        <f>C7</f>
        <v>0</v>
      </c>
      <c r="C8" s="527">
        <f t="shared" ref="C8:C32" si="0">B8+A8/24/60</f>
        <v>0</v>
      </c>
      <c r="D8" s="21"/>
      <c r="E8" s="26"/>
      <c r="F8" s="31"/>
      <c r="G8" s="36"/>
      <c r="H8" s="453"/>
      <c r="I8" s="525"/>
      <c r="J8" s="522">
        <f>K7</f>
        <v>0</v>
      </c>
      <c r="K8" s="527">
        <f>J8+I8/24/60</f>
        <v>0</v>
      </c>
      <c r="L8" s="21"/>
      <c r="M8" s="26"/>
      <c r="N8" s="31"/>
      <c r="O8" s="36"/>
      <c r="P8" s="41"/>
      <c r="Q8" s="525"/>
      <c r="R8" s="522">
        <f>S7</f>
        <v>0</v>
      </c>
      <c r="S8" s="527">
        <f>R8+Q8/24/60</f>
        <v>0</v>
      </c>
      <c r="T8" s="21"/>
      <c r="U8" s="26"/>
      <c r="V8" s="31"/>
      <c r="W8" s="36"/>
      <c r="X8" s="41"/>
      <c r="Y8" s="525"/>
      <c r="Z8" s="522">
        <f>AA7</f>
        <v>0</v>
      </c>
      <c r="AA8" s="527">
        <f>Z8+Y8/24/60</f>
        <v>0</v>
      </c>
      <c r="AB8" s="21"/>
      <c r="AC8" s="26"/>
      <c r="AD8" s="31"/>
      <c r="AE8" s="36"/>
      <c r="AF8" s="41"/>
      <c r="AG8" s="525"/>
      <c r="AH8" s="522">
        <f>AI7</f>
        <v>0</v>
      </c>
      <c r="AI8" s="527">
        <f>AH8+AG8/24/60</f>
        <v>0</v>
      </c>
      <c r="AJ8" s="21"/>
      <c r="AK8" s="26"/>
      <c r="AL8" s="31"/>
      <c r="AM8" s="36"/>
      <c r="AN8" s="41"/>
      <c r="AO8" s="525"/>
      <c r="AP8" s="522">
        <f>AQ7</f>
        <v>0</v>
      </c>
      <c r="AQ8" s="527">
        <f>AP8+AO8/24/60</f>
        <v>0</v>
      </c>
      <c r="AR8" s="21"/>
      <c r="AS8" s="26"/>
      <c r="AT8" s="31"/>
      <c r="AU8" s="36"/>
      <c r="AV8" s="41"/>
      <c r="AW8" s="525"/>
      <c r="AX8" s="522">
        <f>AY7</f>
        <v>0</v>
      </c>
      <c r="AY8" s="527">
        <f>AX8+AW8/24/60</f>
        <v>0</v>
      </c>
      <c r="AZ8" s="21"/>
      <c r="BA8" s="26"/>
      <c r="BB8" s="31"/>
      <c r="BC8" s="36"/>
      <c r="BD8" s="41"/>
      <c r="BE8" s="525"/>
      <c r="BF8" s="522">
        <f>BG7</f>
        <v>0</v>
      </c>
      <c r="BG8" s="527">
        <f>BF8+BE8/24/60</f>
        <v>0</v>
      </c>
      <c r="BH8" s="21"/>
      <c r="BI8" s="26"/>
      <c r="BJ8" s="31"/>
      <c r="BK8" s="36"/>
      <c r="BL8" s="41"/>
      <c r="BM8" s="525"/>
      <c r="BN8" s="522">
        <f>BO7</f>
        <v>0</v>
      </c>
      <c r="BO8" s="527">
        <f>BN8+BM8/24/60</f>
        <v>0</v>
      </c>
      <c r="BP8" s="21"/>
      <c r="BQ8" s="26"/>
      <c r="BR8" s="31"/>
      <c r="BS8" s="36"/>
      <c r="BT8" s="41"/>
      <c r="BU8" s="525"/>
      <c r="BV8" s="522">
        <f>BW7</f>
        <v>0</v>
      </c>
      <c r="BW8" s="527">
        <f>BV8+BU8/24/60</f>
        <v>0</v>
      </c>
      <c r="BX8" s="21"/>
      <c r="BY8" s="26"/>
      <c r="BZ8" s="31"/>
      <c r="CA8" s="36"/>
      <c r="CB8" s="41"/>
      <c r="CC8" s="525"/>
      <c r="CD8" s="522">
        <f>CE7</f>
        <v>0</v>
      </c>
      <c r="CE8" s="527">
        <f>CD8+CC8/24/60</f>
        <v>0</v>
      </c>
      <c r="CF8" s="21"/>
      <c r="CG8" s="26"/>
      <c r="CH8" s="31"/>
      <c r="CI8" s="36"/>
      <c r="CJ8" s="41"/>
      <c r="CK8" s="109"/>
      <c r="CL8" s="4"/>
      <c r="CM8" s="541" t="s">
        <v>137</v>
      </c>
    </row>
    <row r="9" spans="1:91" ht="18" customHeight="1">
      <c r="A9" s="523"/>
      <c r="B9" s="520">
        <f>C8</f>
        <v>0</v>
      </c>
      <c r="C9" s="524">
        <f t="shared" si="0"/>
        <v>0</v>
      </c>
      <c r="D9" s="22"/>
      <c r="E9" s="27"/>
      <c r="F9" s="32"/>
      <c r="G9" s="37"/>
      <c r="H9" s="452"/>
      <c r="I9" s="523"/>
      <c r="J9" s="520">
        <f>K8</f>
        <v>0</v>
      </c>
      <c r="K9" s="524">
        <f t="shared" ref="K9:K32" si="1">J9+I9/24/60</f>
        <v>0</v>
      </c>
      <c r="L9" s="22"/>
      <c r="M9" s="27"/>
      <c r="N9" s="32"/>
      <c r="O9" s="37"/>
      <c r="P9" s="42"/>
      <c r="Q9" s="523"/>
      <c r="R9" s="520">
        <f>S8</f>
        <v>0</v>
      </c>
      <c r="S9" s="524">
        <f t="shared" ref="S9:S32" si="2">R9+Q9/24/60</f>
        <v>0</v>
      </c>
      <c r="T9" s="22"/>
      <c r="U9" s="27"/>
      <c r="V9" s="32"/>
      <c r="W9" s="37"/>
      <c r="X9" s="42"/>
      <c r="Y9" s="523"/>
      <c r="Z9" s="520">
        <f>AA8</f>
        <v>0</v>
      </c>
      <c r="AA9" s="524">
        <f t="shared" ref="AA9:AA32" si="3">Z9+Y9/24/60</f>
        <v>0</v>
      </c>
      <c r="AB9" s="22"/>
      <c r="AC9" s="27"/>
      <c r="AD9" s="32"/>
      <c r="AE9" s="37"/>
      <c r="AF9" s="42"/>
      <c r="AG9" s="523"/>
      <c r="AH9" s="520">
        <f>AI8</f>
        <v>0</v>
      </c>
      <c r="AI9" s="524">
        <f t="shared" ref="AI9:AI32" si="4">AH9+AG9/24/60</f>
        <v>0</v>
      </c>
      <c r="AJ9" s="22"/>
      <c r="AK9" s="27"/>
      <c r="AL9" s="32"/>
      <c r="AM9" s="37"/>
      <c r="AN9" s="42"/>
      <c r="AO9" s="523"/>
      <c r="AP9" s="520">
        <f>AQ8</f>
        <v>0</v>
      </c>
      <c r="AQ9" s="524">
        <f t="shared" ref="AQ9:AQ32" si="5">AP9+AO9/24/60</f>
        <v>0</v>
      </c>
      <c r="AR9" s="22"/>
      <c r="AS9" s="27"/>
      <c r="AT9" s="32"/>
      <c r="AU9" s="37"/>
      <c r="AV9" s="42"/>
      <c r="AW9" s="523"/>
      <c r="AX9" s="520">
        <f>AY8</f>
        <v>0</v>
      </c>
      <c r="AY9" s="524">
        <f t="shared" ref="AY9:AY32" si="6">AX9+AW9/24/60</f>
        <v>0</v>
      </c>
      <c r="AZ9" s="22"/>
      <c r="BA9" s="27"/>
      <c r="BB9" s="32"/>
      <c r="BC9" s="37"/>
      <c r="BD9" s="42"/>
      <c r="BE9" s="523"/>
      <c r="BF9" s="520">
        <f>BG8</f>
        <v>0</v>
      </c>
      <c r="BG9" s="524">
        <f t="shared" ref="BG9:BG32" si="7">BF9+BE9/24/60</f>
        <v>0</v>
      </c>
      <c r="BH9" s="22"/>
      <c r="BI9" s="27"/>
      <c r="BJ9" s="32"/>
      <c r="BK9" s="37"/>
      <c r="BL9" s="42"/>
      <c r="BM9" s="523"/>
      <c r="BN9" s="520">
        <f>BO8</f>
        <v>0</v>
      </c>
      <c r="BO9" s="524">
        <f t="shared" ref="BO9:BO32" si="8">BN9+BM9/24/60</f>
        <v>0</v>
      </c>
      <c r="BP9" s="22"/>
      <c r="BQ9" s="27"/>
      <c r="BR9" s="32"/>
      <c r="BS9" s="37"/>
      <c r="BT9" s="42"/>
      <c r="BU9" s="523"/>
      <c r="BV9" s="520">
        <f>BW8</f>
        <v>0</v>
      </c>
      <c r="BW9" s="524">
        <f t="shared" ref="BW9:BW32" si="9">BV9+BU9/24/60</f>
        <v>0</v>
      </c>
      <c r="BX9" s="22"/>
      <c r="BY9" s="27"/>
      <c r="BZ9" s="32"/>
      <c r="CA9" s="37"/>
      <c r="CB9" s="42"/>
      <c r="CC9" s="523"/>
      <c r="CD9" s="520">
        <f>CE8</f>
        <v>0</v>
      </c>
      <c r="CE9" s="524">
        <f t="shared" ref="CE9:CE32" si="10">CD9+CC9/24/60</f>
        <v>0</v>
      </c>
      <c r="CF9" s="22"/>
      <c r="CG9" s="27"/>
      <c r="CH9" s="32"/>
      <c r="CI9" s="37"/>
      <c r="CJ9" s="42"/>
      <c r="CK9" s="447"/>
      <c r="CL9" s="5"/>
    </row>
    <row r="10" spans="1:91" ht="18" customHeight="1">
      <c r="A10" s="525"/>
      <c r="B10" s="522">
        <f>C9</f>
        <v>0</v>
      </c>
      <c r="C10" s="527">
        <f t="shared" si="0"/>
        <v>0</v>
      </c>
      <c r="D10" s="21"/>
      <c r="E10" s="26"/>
      <c r="F10" s="31"/>
      <c r="G10" s="36"/>
      <c r="H10" s="453"/>
      <c r="I10" s="525"/>
      <c r="J10" s="522">
        <f>K9</f>
        <v>0</v>
      </c>
      <c r="K10" s="527">
        <f t="shared" si="1"/>
        <v>0</v>
      </c>
      <c r="L10" s="21"/>
      <c r="M10" s="26"/>
      <c r="N10" s="31"/>
      <c r="O10" s="36"/>
      <c r="P10" s="41"/>
      <c r="Q10" s="525"/>
      <c r="R10" s="522">
        <f>S9</f>
        <v>0</v>
      </c>
      <c r="S10" s="527">
        <f t="shared" si="2"/>
        <v>0</v>
      </c>
      <c r="T10" s="21"/>
      <c r="U10" s="26"/>
      <c r="V10" s="31"/>
      <c r="W10" s="36"/>
      <c r="X10" s="41"/>
      <c r="Y10" s="525"/>
      <c r="Z10" s="522">
        <f>AA9</f>
        <v>0</v>
      </c>
      <c r="AA10" s="527">
        <f t="shared" si="3"/>
        <v>0</v>
      </c>
      <c r="AB10" s="21"/>
      <c r="AC10" s="26"/>
      <c r="AD10" s="31"/>
      <c r="AE10" s="36"/>
      <c r="AF10" s="41"/>
      <c r="AG10" s="525"/>
      <c r="AH10" s="522">
        <f>AI9</f>
        <v>0</v>
      </c>
      <c r="AI10" s="527">
        <f t="shared" si="4"/>
        <v>0</v>
      </c>
      <c r="AJ10" s="21"/>
      <c r="AK10" s="26"/>
      <c r="AL10" s="31"/>
      <c r="AM10" s="36"/>
      <c r="AN10" s="41"/>
      <c r="AO10" s="525"/>
      <c r="AP10" s="522">
        <f>AQ9</f>
        <v>0</v>
      </c>
      <c r="AQ10" s="527">
        <f t="shared" si="5"/>
        <v>0</v>
      </c>
      <c r="AR10" s="21"/>
      <c r="AS10" s="26"/>
      <c r="AT10" s="31"/>
      <c r="AU10" s="36"/>
      <c r="AV10" s="41"/>
      <c r="AW10" s="525"/>
      <c r="AX10" s="522">
        <f>AY9</f>
        <v>0</v>
      </c>
      <c r="AY10" s="527">
        <f t="shared" si="6"/>
        <v>0</v>
      </c>
      <c r="AZ10" s="21"/>
      <c r="BA10" s="26"/>
      <c r="BB10" s="31"/>
      <c r="BC10" s="36"/>
      <c r="BD10" s="41"/>
      <c r="BE10" s="525"/>
      <c r="BF10" s="522">
        <f>BG9</f>
        <v>0</v>
      </c>
      <c r="BG10" s="527">
        <f t="shared" si="7"/>
        <v>0</v>
      </c>
      <c r="BH10" s="21"/>
      <c r="BI10" s="26"/>
      <c r="BJ10" s="31"/>
      <c r="BK10" s="36"/>
      <c r="BL10" s="41"/>
      <c r="BM10" s="525"/>
      <c r="BN10" s="522">
        <f>BO9</f>
        <v>0</v>
      </c>
      <c r="BO10" s="527">
        <f t="shared" si="8"/>
        <v>0</v>
      </c>
      <c r="BP10" s="21"/>
      <c r="BQ10" s="26"/>
      <c r="BR10" s="31"/>
      <c r="BS10" s="36"/>
      <c r="BT10" s="41"/>
      <c r="BU10" s="525"/>
      <c r="BV10" s="522">
        <f>BW9</f>
        <v>0</v>
      </c>
      <c r="BW10" s="527">
        <f t="shared" si="9"/>
        <v>0</v>
      </c>
      <c r="BX10" s="21"/>
      <c r="BY10" s="26"/>
      <c r="BZ10" s="31"/>
      <c r="CA10" s="36"/>
      <c r="CB10" s="41"/>
      <c r="CC10" s="525"/>
      <c r="CD10" s="522">
        <f>CE9</f>
        <v>0</v>
      </c>
      <c r="CE10" s="527">
        <f t="shared" si="10"/>
        <v>0</v>
      </c>
      <c r="CF10" s="21"/>
      <c r="CG10" s="26"/>
      <c r="CH10" s="31"/>
      <c r="CI10" s="36"/>
      <c r="CJ10" s="41"/>
      <c r="CK10" s="109"/>
      <c r="CL10" s="4"/>
    </row>
    <row r="11" spans="1:91" ht="18" customHeight="1">
      <c r="A11" s="523"/>
      <c r="B11" s="520">
        <f t="shared" ref="B11:B32" si="11">C10</f>
        <v>0</v>
      </c>
      <c r="C11" s="524">
        <f t="shared" si="0"/>
        <v>0</v>
      </c>
      <c r="D11" s="22"/>
      <c r="E11" s="27"/>
      <c r="F11" s="32"/>
      <c r="G11" s="37"/>
      <c r="H11" s="452"/>
      <c r="I11" s="523"/>
      <c r="J11" s="520">
        <f t="shared" ref="J11:J32" si="12">K10</f>
        <v>0</v>
      </c>
      <c r="K11" s="524">
        <f t="shared" si="1"/>
        <v>0</v>
      </c>
      <c r="L11" s="22"/>
      <c r="M11" s="27"/>
      <c r="N11" s="32"/>
      <c r="O11" s="37"/>
      <c r="P11" s="42"/>
      <c r="Q11" s="523"/>
      <c r="R11" s="520">
        <f t="shared" ref="R11:R32" si="13">S10</f>
        <v>0</v>
      </c>
      <c r="S11" s="524">
        <f t="shared" si="2"/>
        <v>0</v>
      </c>
      <c r="T11" s="22"/>
      <c r="U11" s="27"/>
      <c r="V11" s="32"/>
      <c r="W11" s="37"/>
      <c r="X11" s="42"/>
      <c r="Y11" s="523"/>
      <c r="Z11" s="520">
        <f t="shared" ref="Z11:Z32" si="14">AA10</f>
        <v>0</v>
      </c>
      <c r="AA11" s="524">
        <f t="shared" si="3"/>
        <v>0</v>
      </c>
      <c r="AB11" s="22"/>
      <c r="AC11" s="27"/>
      <c r="AD11" s="32"/>
      <c r="AE11" s="37"/>
      <c r="AF11" s="42"/>
      <c r="AG11" s="523"/>
      <c r="AH11" s="520">
        <f t="shared" ref="AH11:AH32" si="15">AI10</f>
        <v>0</v>
      </c>
      <c r="AI11" s="524">
        <f t="shared" si="4"/>
        <v>0</v>
      </c>
      <c r="AJ11" s="22"/>
      <c r="AK11" s="27"/>
      <c r="AL11" s="32"/>
      <c r="AM11" s="37"/>
      <c r="AN11" s="42"/>
      <c r="AO11" s="523"/>
      <c r="AP11" s="520">
        <f t="shared" ref="AP11:AP32" si="16">AQ10</f>
        <v>0</v>
      </c>
      <c r="AQ11" s="524">
        <f t="shared" si="5"/>
        <v>0</v>
      </c>
      <c r="AR11" s="22"/>
      <c r="AS11" s="27"/>
      <c r="AT11" s="32"/>
      <c r="AU11" s="37"/>
      <c r="AV11" s="42"/>
      <c r="AW11" s="523"/>
      <c r="AX11" s="520">
        <f t="shared" ref="AX11:AX32" si="17">AY10</f>
        <v>0</v>
      </c>
      <c r="AY11" s="524">
        <f t="shared" si="6"/>
        <v>0</v>
      </c>
      <c r="AZ11" s="22"/>
      <c r="BA11" s="27"/>
      <c r="BB11" s="32"/>
      <c r="BC11" s="37"/>
      <c r="BD11" s="42"/>
      <c r="BE11" s="523"/>
      <c r="BF11" s="520">
        <f t="shared" ref="BF11:BF32" si="18">BG10</f>
        <v>0</v>
      </c>
      <c r="BG11" s="524">
        <f t="shared" si="7"/>
        <v>0</v>
      </c>
      <c r="BH11" s="22"/>
      <c r="BI11" s="27"/>
      <c r="BJ11" s="32"/>
      <c r="BK11" s="37"/>
      <c r="BL11" s="42"/>
      <c r="BM11" s="523"/>
      <c r="BN11" s="520">
        <f t="shared" ref="BN11:BN32" si="19">BO10</f>
        <v>0</v>
      </c>
      <c r="BO11" s="524">
        <f t="shared" si="8"/>
        <v>0</v>
      </c>
      <c r="BP11" s="22"/>
      <c r="BQ11" s="27"/>
      <c r="BR11" s="32"/>
      <c r="BS11" s="37"/>
      <c r="BT11" s="42"/>
      <c r="BU11" s="523"/>
      <c r="BV11" s="520">
        <f t="shared" ref="BV11:BV32" si="20">BW10</f>
        <v>0</v>
      </c>
      <c r="BW11" s="524">
        <f t="shared" si="9"/>
        <v>0</v>
      </c>
      <c r="BX11" s="22"/>
      <c r="BY11" s="27"/>
      <c r="BZ11" s="32"/>
      <c r="CA11" s="37"/>
      <c r="CB11" s="42"/>
      <c r="CC11" s="523"/>
      <c r="CD11" s="520">
        <f t="shared" ref="CD11:CD32" si="21">CE10</f>
        <v>0</v>
      </c>
      <c r="CE11" s="524">
        <f t="shared" si="10"/>
        <v>0</v>
      </c>
      <c r="CF11" s="22"/>
      <c r="CG11" s="27"/>
      <c r="CH11" s="32"/>
      <c r="CI11" s="37"/>
      <c r="CJ11" s="42"/>
      <c r="CK11" s="447"/>
      <c r="CL11" s="5"/>
    </row>
    <row r="12" spans="1:91" ht="18" customHeight="1">
      <c r="A12" s="525"/>
      <c r="B12" s="522">
        <f t="shared" si="11"/>
        <v>0</v>
      </c>
      <c r="C12" s="527">
        <f t="shared" si="0"/>
        <v>0</v>
      </c>
      <c r="D12" s="21"/>
      <c r="E12" s="26"/>
      <c r="F12" s="31"/>
      <c r="G12" s="36"/>
      <c r="H12" s="453"/>
      <c r="I12" s="525"/>
      <c r="J12" s="522">
        <f t="shared" si="12"/>
        <v>0</v>
      </c>
      <c r="K12" s="527">
        <f t="shared" si="1"/>
        <v>0</v>
      </c>
      <c r="L12" s="21"/>
      <c r="M12" s="26"/>
      <c r="N12" s="31"/>
      <c r="O12" s="36"/>
      <c r="P12" s="41"/>
      <c r="Q12" s="525"/>
      <c r="R12" s="522">
        <f t="shared" si="13"/>
        <v>0</v>
      </c>
      <c r="S12" s="527">
        <f t="shared" si="2"/>
        <v>0</v>
      </c>
      <c r="T12" s="21"/>
      <c r="U12" s="26"/>
      <c r="V12" s="31"/>
      <c r="W12" s="36"/>
      <c r="X12" s="41"/>
      <c r="Y12" s="525"/>
      <c r="Z12" s="522">
        <f t="shared" si="14"/>
        <v>0</v>
      </c>
      <c r="AA12" s="527">
        <f t="shared" si="3"/>
        <v>0</v>
      </c>
      <c r="AB12" s="21"/>
      <c r="AC12" s="26"/>
      <c r="AD12" s="31"/>
      <c r="AE12" s="36"/>
      <c r="AF12" s="41"/>
      <c r="AG12" s="525"/>
      <c r="AH12" s="522">
        <f t="shared" si="15"/>
        <v>0</v>
      </c>
      <c r="AI12" s="527">
        <f t="shared" si="4"/>
        <v>0</v>
      </c>
      <c r="AJ12" s="21"/>
      <c r="AK12" s="26"/>
      <c r="AL12" s="31"/>
      <c r="AM12" s="36"/>
      <c r="AN12" s="41"/>
      <c r="AO12" s="525"/>
      <c r="AP12" s="522">
        <f t="shared" si="16"/>
        <v>0</v>
      </c>
      <c r="AQ12" s="527">
        <f t="shared" si="5"/>
        <v>0</v>
      </c>
      <c r="AR12" s="21"/>
      <c r="AS12" s="26"/>
      <c r="AT12" s="31"/>
      <c r="AU12" s="36"/>
      <c r="AV12" s="41"/>
      <c r="AW12" s="525"/>
      <c r="AX12" s="522">
        <f t="shared" si="17"/>
        <v>0</v>
      </c>
      <c r="AY12" s="527">
        <f t="shared" si="6"/>
        <v>0</v>
      </c>
      <c r="AZ12" s="21"/>
      <c r="BA12" s="26"/>
      <c r="BB12" s="31"/>
      <c r="BC12" s="36"/>
      <c r="BD12" s="41"/>
      <c r="BE12" s="525"/>
      <c r="BF12" s="522">
        <f t="shared" si="18"/>
        <v>0</v>
      </c>
      <c r="BG12" s="527">
        <f t="shared" si="7"/>
        <v>0</v>
      </c>
      <c r="BH12" s="21"/>
      <c r="BI12" s="26"/>
      <c r="BJ12" s="31"/>
      <c r="BK12" s="36"/>
      <c r="BL12" s="41"/>
      <c r="BM12" s="525"/>
      <c r="BN12" s="522">
        <f t="shared" si="19"/>
        <v>0</v>
      </c>
      <c r="BO12" s="527">
        <f t="shared" si="8"/>
        <v>0</v>
      </c>
      <c r="BP12" s="21"/>
      <c r="BQ12" s="26"/>
      <c r="BR12" s="31"/>
      <c r="BS12" s="36"/>
      <c r="BT12" s="41"/>
      <c r="BU12" s="525"/>
      <c r="BV12" s="522">
        <f t="shared" si="20"/>
        <v>0</v>
      </c>
      <c r="BW12" s="527">
        <f t="shared" si="9"/>
        <v>0</v>
      </c>
      <c r="BX12" s="21"/>
      <c r="BY12" s="26"/>
      <c r="BZ12" s="31"/>
      <c r="CA12" s="36"/>
      <c r="CB12" s="41"/>
      <c r="CC12" s="525"/>
      <c r="CD12" s="522">
        <f t="shared" si="21"/>
        <v>0</v>
      </c>
      <c r="CE12" s="527">
        <f t="shared" si="10"/>
        <v>0</v>
      </c>
      <c r="CF12" s="21"/>
      <c r="CG12" s="26"/>
      <c r="CH12" s="31"/>
      <c r="CI12" s="36"/>
      <c r="CJ12" s="41"/>
      <c r="CK12" s="109"/>
      <c r="CL12" s="4"/>
    </row>
    <row r="13" spans="1:91" ht="18" customHeight="1">
      <c r="A13" s="523"/>
      <c r="B13" s="520">
        <f t="shared" si="11"/>
        <v>0</v>
      </c>
      <c r="C13" s="524">
        <f t="shared" si="0"/>
        <v>0</v>
      </c>
      <c r="D13" s="22"/>
      <c r="E13" s="27"/>
      <c r="F13" s="32"/>
      <c r="G13" s="37"/>
      <c r="H13" s="452"/>
      <c r="I13" s="523"/>
      <c r="J13" s="520">
        <f t="shared" si="12"/>
        <v>0</v>
      </c>
      <c r="K13" s="524">
        <f t="shared" si="1"/>
        <v>0</v>
      </c>
      <c r="L13" s="22"/>
      <c r="M13" s="27"/>
      <c r="N13" s="32"/>
      <c r="O13" s="37"/>
      <c r="P13" s="42"/>
      <c r="Q13" s="523"/>
      <c r="R13" s="520">
        <f t="shared" si="13"/>
        <v>0</v>
      </c>
      <c r="S13" s="524">
        <f t="shared" si="2"/>
        <v>0</v>
      </c>
      <c r="T13" s="22"/>
      <c r="U13" s="27"/>
      <c r="V13" s="32"/>
      <c r="W13" s="37"/>
      <c r="X13" s="42"/>
      <c r="Y13" s="523"/>
      <c r="Z13" s="520">
        <f t="shared" si="14"/>
        <v>0</v>
      </c>
      <c r="AA13" s="524">
        <f t="shared" si="3"/>
        <v>0</v>
      </c>
      <c r="AB13" s="22"/>
      <c r="AC13" s="27"/>
      <c r="AD13" s="32"/>
      <c r="AE13" s="37"/>
      <c r="AF13" s="42"/>
      <c r="AG13" s="523"/>
      <c r="AH13" s="520">
        <f t="shared" si="15"/>
        <v>0</v>
      </c>
      <c r="AI13" s="524">
        <f t="shared" si="4"/>
        <v>0</v>
      </c>
      <c r="AJ13" s="22"/>
      <c r="AK13" s="27"/>
      <c r="AL13" s="32"/>
      <c r="AM13" s="37"/>
      <c r="AN13" s="42"/>
      <c r="AO13" s="523"/>
      <c r="AP13" s="520">
        <f t="shared" si="16"/>
        <v>0</v>
      </c>
      <c r="AQ13" s="524">
        <f t="shared" si="5"/>
        <v>0</v>
      </c>
      <c r="AR13" s="22"/>
      <c r="AS13" s="27"/>
      <c r="AT13" s="32"/>
      <c r="AU13" s="37"/>
      <c r="AV13" s="42"/>
      <c r="AW13" s="523"/>
      <c r="AX13" s="520">
        <f t="shared" si="17"/>
        <v>0</v>
      </c>
      <c r="AY13" s="524">
        <f t="shared" si="6"/>
        <v>0</v>
      </c>
      <c r="AZ13" s="22"/>
      <c r="BA13" s="27"/>
      <c r="BB13" s="32"/>
      <c r="BC13" s="37"/>
      <c r="BD13" s="42"/>
      <c r="BE13" s="523"/>
      <c r="BF13" s="520">
        <f t="shared" si="18"/>
        <v>0</v>
      </c>
      <c r="BG13" s="524">
        <f t="shared" si="7"/>
        <v>0</v>
      </c>
      <c r="BH13" s="22"/>
      <c r="BI13" s="27"/>
      <c r="BJ13" s="32"/>
      <c r="BK13" s="37"/>
      <c r="BL13" s="42"/>
      <c r="BM13" s="523"/>
      <c r="BN13" s="520">
        <f t="shared" si="19"/>
        <v>0</v>
      </c>
      <c r="BO13" s="524">
        <f t="shared" si="8"/>
        <v>0</v>
      </c>
      <c r="BP13" s="22"/>
      <c r="BQ13" s="27"/>
      <c r="BR13" s="32"/>
      <c r="BS13" s="37"/>
      <c r="BT13" s="42"/>
      <c r="BU13" s="523"/>
      <c r="BV13" s="520">
        <f t="shared" si="20"/>
        <v>0</v>
      </c>
      <c r="BW13" s="524">
        <f t="shared" si="9"/>
        <v>0</v>
      </c>
      <c r="BX13" s="22"/>
      <c r="BY13" s="27"/>
      <c r="BZ13" s="32"/>
      <c r="CA13" s="37"/>
      <c r="CB13" s="42"/>
      <c r="CC13" s="523"/>
      <c r="CD13" s="520">
        <f t="shared" si="21"/>
        <v>0</v>
      </c>
      <c r="CE13" s="524">
        <f t="shared" si="10"/>
        <v>0</v>
      </c>
      <c r="CF13" s="22"/>
      <c r="CG13" s="27"/>
      <c r="CH13" s="32"/>
      <c r="CI13" s="37"/>
      <c r="CJ13" s="42"/>
      <c r="CK13" s="447"/>
      <c r="CL13" s="5"/>
    </row>
    <row r="14" spans="1:91" ht="18" customHeight="1">
      <c r="A14" s="525"/>
      <c r="B14" s="522">
        <f t="shared" si="11"/>
        <v>0</v>
      </c>
      <c r="C14" s="527">
        <f t="shared" si="0"/>
        <v>0</v>
      </c>
      <c r="D14" s="21"/>
      <c r="E14" s="26"/>
      <c r="F14" s="31"/>
      <c r="G14" s="36"/>
      <c r="H14" s="453"/>
      <c r="I14" s="525"/>
      <c r="J14" s="522">
        <f t="shared" si="12"/>
        <v>0</v>
      </c>
      <c r="K14" s="527">
        <f t="shared" si="1"/>
        <v>0</v>
      </c>
      <c r="L14" s="21"/>
      <c r="M14" s="26"/>
      <c r="N14" s="31"/>
      <c r="O14" s="36"/>
      <c r="P14" s="41"/>
      <c r="Q14" s="525"/>
      <c r="R14" s="522">
        <f t="shared" si="13"/>
        <v>0</v>
      </c>
      <c r="S14" s="527">
        <f t="shared" si="2"/>
        <v>0</v>
      </c>
      <c r="T14" s="21"/>
      <c r="U14" s="26"/>
      <c r="V14" s="31"/>
      <c r="W14" s="36"/>
      <c r="X14" s="41"/>
      <c r="Y14" s="525"/>
      <c r="Z14" s="522">
        <f t="shared" si="14"/>
        <v>0</v>
      </c>
      <c r="AA14" s="527">
        <f t="shared" si="3"/>
        <v>0</v>
      </c>
      <c r="AB14" s="21"/>
      <c r="AC14" s="26"/>
      <c r="AD14" s="31"/>
      <c r="AE14" s="36"/>
      <c r="AF14" s="41"/>
      <c r="AG14" s="525"/>
      <c r="AH14" s="522">
        <f t="shared" si="15"/>
        <v>0</v>
      </c>
      <c r="AI14" s="527">
        <f t="shared" si="4"/>
        <v>0</v>
      </c>
      <c r="AJ14" s="21"/>
      <c r="AK14" s="26"/>
      <c r="AL14" s="31"/>
      <c r="AM14" s="36"/>
      <c r="AN14" s="41"/>
      <c r="AO14" s="525"/>
      <c r="AP14" s="522">
        <f t="shared" si="16"/>
        <v>0</v>
      </c>
      <c r="AQ14" s="527">
        <f t="shared" si="5"/>
        <v>0</v>
      </c>
      <c r="AR14" s="21"/>
      <c r="AS14" s="26"/>
      <c r="AT14" s="31"/>
      <c r="AU14" s="36"/>
      <c r="AV14" s="41"/>
      <c r="AW14" s="525"/>
      <c r="AX14" s="522">
        <f t="shared" si="17"/>
        <v>0</v>
      </c>
      <c r="AY14" s="527">
        <f t="shared" si="6"/>
        <v>0</v>
      </c>
      <c r="AZ14" s="21"/>
      <c r="BA14" s="26"/>
      <c r="BB14" s="31"/>
      <c r="BC14" s="36"/>
      <c r="BD14" s="41"/>
      <c r="BE14" s="525"/>
      <c r="BF14" s="522">
        <f t="shared" si="18"/>
        <v>0</v>
      </c>
      <c r="BG14" s="527">
        <f t="shared" si="7"/>
        <v>0</v>
      </c>
      <c r="BH14" s="21"/>
      <c r="BI14" s="26"/>
      <c r="BJ14" s="31"/>
      <c r="BK14" s="36"/>
      <c r="BL14" s="41"/>
      <c r="BM14" s="525"/>
      <c r="BN14" s="522">
        <f t="shared" si="19"/>
        <v>0</v>
      </c>
      <c r="BO14" s="527">
        <f t="shared" si="8"/>
        <v>0</v>
      </c>
      <c r="BP14" s="21"/>
      <c r="BQ14" s="26"/>
      <c r="BR14" s="31"/>
      <c r="BS14" s="36"/>
      <c r="BT14" s="41"/>
      <c r="BU14" s="525"/>
      <c r="BV14" s="522">
        <f t="shared" si="20"/>
        <v>0</v>
      </c>
      <c r="BW14" s="527">
        <f t="shared" si="9"/>
        <v>0</v>
      </c>
      <c r="BX14" s="21"/>
      <c r="BY14" s="26"/>
      <c r="BZ14" s="31"/>
      <c r="CA14" s="36"/>
      <c r="CB14" s="41"/>
      <c r="CC14" s="525"/>
      <c r="CD14" s="522">
        <f t="shared" si="21"/>
        <v>0</v>
      </c>
      <c r="CE14" s="527">
        <f t="shared" si="10"/>
        <v>0</v>
      </c>
      <c r="CF14" s="21"/>
      <c r="CG14" s="26"/>
      <c r="CH14" s="31"/>
      <c r="CI14" s="36"/>
      <c r="CJ14" s="41"/>
      <c r="CK14" s="109"/>
      <c r="CL14" s="4"/>
    </row>
    <row r="15" spans="1:91" ht="18" customHeight="1">
      <c r="A15" s="523"/>
      <c r="B15" s="520">
        <f t="shared" si="11"/>
        <v>0</v>
      </c>
      <c r="C15" s="524">
        <f t="shared" si="0"/>
        <v>0</v>
      </c>
      <c r="D15" s="22"/>
      <c r="E15" s="27"/>
      <c r="F15" s="32"/>
      <c r="G15" s="37"/>
      <c r="H15" s="452"/>
      <c r="I15" s="523"/>
      <c r="J15" s="520">
        <f t="shared" si="12"/>
        <v>0</v>
      </c>
      <c r="K15" s="524">
        <f t="shared" si="1"/>
        <v>0</v>
      </c>
      <c r="L15" s="22"/>
      <c r="M15" s="27"/>
      <c r="N15" s="32"/>
      <c r="O15" s="37"/>
      <c r="P15" s="42"/>
      <c r="Q15" s="523"/>
      <c r="R15" s="520">
        <f t="shared" si="13"/>
        <v>0</v>
      </c>
      <c r="S15" s="524">
        <f t="shared" si="2"/>
        <v>0</v>
      </c>
      <c r="T15" s="22"/>
      <c r="U15" s="27"/>
      <c r="V15" s="32"/>
      <c r="W15" s="37"/>
      <c r="X15" s="42"/>
      <c r="Y15" s="523"/>
      <c r="Z15" s="520">
        <f t="shared" si="14"/>
        <v>0</v>
      </c>
      <c r="AA15" s="524">
        <f t="shared" si="3"/>
        <v>0</v>
      </c>
      <c r="AB15" s="22"/>
      <c r="AC15" s="27"/>
      <c r="AD15" s="32"/>
      <c r="AE15" s="37"/>
      <c r="AF15" s="42"/>
      <c r="AG15" s="523"/>
      <c r="AH15" s="520">
        <f t="shared" si="15"/>
        <v>0</v>
      </c>
      <c r="AI15" s="524">
        <f t="shared" si="4"/>
        <v>0</v>
      </c>
      <c r="AJ15" s="22"/>
      <c r="AK15" s="27"/>
      <c r="AL15" s="32"/>
      <c r="AM15" s="37"/>
      <c r="AN15" s="42"/>
      <c r="AO15" s="523"/>
      <c r="AP15" s="520">
        <f t="shared" si="16"/>
        <v>0</v>
      </c>
      <c r="AQ15" s="524">
        <f t="shared" si="5"/>
        <v>0</v>
      </c>
      <c r="AR15" s="22"/>
      <c r="AS15" s="27"/>
      <c r="AT15" s="32"/>
      <c r="AU15" s="37"/>
      <c r="AV15" s="42"/>
      <c r="AW15" s="523"/>
      <c r="AX15" s="520">
        <f t="shared" si="17"/>
        <v>0</v>
      </c>
      <c r="AY15" s="524">
        <f t="shared" si="6"/>
        <v>0</v>
      </c>
      <c r="AZ15" s="22"/>
      <c r="BA15" s="27"/>
      <c r="BB15" s="32"/>
      <c r="BC15" s="37"/>
      <c r="BD15" s="42"/>
      <c r="BE15" s="523"/>
      <c r="BF15" s="520">
        <f t="shared" si="18"/>
        <v>0</v>
      </c>
      <c r="BG15" s="524">
        <f t="shared" si="7"/>
        <v>0</v>
      </c>
      <c r="BH15" s="22"/>
      <c r="BI15" s="27"/>
      <c r="BJ15" s="32"/>
      <c r="BK15" s="37"/>
      <c r="BL15" s="42"/>
      <c r="BM15" s="523"/>
      <c r="BN15" s="520">
        <f t="shared" si="19"/>
        <v>0</v>
      </c>
      <c r="BO15" s="524">
        <f t="shared" si="8"/>
        <v>0</v>
      </c>
      <c r="BP15" s="22"/>
      <c r="BQ15" s="27"/>
      <c r="BR15" s="32"/>
      <c r="BS15" s="37"/>
      <c r="BT15" s="42"/>
      <c r="BU15" s="523"/>
      <c r="BV15" s="520">
        <f t="shared" si="20"/>
        <v>0</v>
      </c>
      <c r="BW15" s="524">
        <f t="shared" si="9"/>
        <v>0</v>
      </c>
      <c r="BX15" s="22"/>
      <c r="BY15" s="27"/>
      <c r="BZ15" s="32"/>
      <c r="CA15" s="37"/>
      <c r="CB15" s="42"/>
      <c r="CC15" s="523"/>
      <c r="CD15" s="520">
        <f t="shared" si="21"/>
        <v>0</v>
      </c>
      <c r="CE15" s="524">
        <f t="shared" si="10"/>
        <v>0</v>
      </c>
      <c r="CF15" s="22"/>
      <c r="CG15" s="27"/>
      <c r="CH15" s="32"/>
      <c r="CI15" s="37"/>
      <c r="CJ15" s="42"/>
      <c r="CK15" s="447"/>
      <c r="CL15" s="5"/>
    </row>
    <row r="16" spans="1:91" ht="18" customHeight="1">
      <c r="A16" s="525"/>
      <c r="B16" s="522">
        <f t="shared" si="11"/>
        <v>0</v>
      </c>
      <c r="C16" s="527">
        <f t="shared" si="0"/>
        <v>0</v>
      </c>
      <c r="D16" s="21"/>
      <c r="E16" s="26"/>
      <c r="F16" s="31"/>
      <c r="G16" s="36"/>
      <c r="H16" s="453"/>
      <c r="I16" s="525"/>
      <c r="J16" s="522">
        <f t="shared" si="12"/>
        <v>0</v>
      </c>
      <c r="K16" s="527">
        <f t="shared" si="1"/>
        <v>0</v>
      </c>
      <c r="L16" s="21"/>
      <c r="M16" s="26"/>
      <c r="N16" s="31"/>
      <c r="O16" s="36"/>
      <c r="P16" s="41"/>
      <c r="Q16" s="525"/>
      <c r="R16" s="522">
        <f t="shared" si="13"/>
        <v>0</v>
      </c>
      <c r="S16" s="527">
        <f t="shared" si="2"/>
        <v>0</v>
      </c>
      <c r="T16" s="21"/>
      <c r="U16" s="26"/>
      <c r="V16" s="31"/>
      <c r="W16" s="36"/>
      <c r="X16" s="41"/>
      <c r="Y16" s="525"/>
      <c r="Z16" s="522">
        <f t="shared" si="14"/>
        <v>0</v>
      </c>
      <c r="AA16" s="527">
        <f t="shared" si="3"/>
        <v>0</v>
      </c>
      <c r="AB16" s="21"/>
      <c r="AC16" s="26"/>
      <c r="AD16" s="31"/>
      <c r="AE16" s="36"/>
      <c r="AF16" s="41"/>
      <c r="AG16" s="525"/>
      <c r="AH16" s="522">
        <f t="shared" si="15"/>
        <v>0</v>
      </c>
      <c r="AI16" s="527">
        <f t="shared" si="4"/>
        <v>0</v>
      </c>
      <c r="AJ16" s="21"/>
      <c r="AK16" s="26"/>
      <c r="AL16" s="31"/>
      <c r="AM16" s="36"/>
      <c r="AN16" s="41"/>
      <c r="AO16" s="525"/>
      <c r="AP16" s="522">
        <f t="shared" si="16"/>
        <v>0</v>
      </c>
      <c r="AQ16" s="527">
        <f t="shared" si="5"/>
        <v>0</v>
      </c>
      <c r="AR16" s="21"/>
      <c r="AS16" s="26"/>
      <c r="AT16" s="31"/>
      <c r="AU16" s="36"/>
      <c r="AV16" s="41"/>
      <c r="AW16" s="525"/>
      <c r="AX16" s="522">
        <f t="shared" si="17"/>
        <v>0</v>
      </c>
      <c r="AY16" s="527">
        <f t="shared" si="6"/>
        <v>0</v>
      </c>
      <c r="AZ16" s="21"/>
      <c r="BA16" s="26"/>
      <c r="BB16" s="31"/>
      <c r="BC16" s="36"/>
      <c r="BD16" s="41"/>
      <c r="BE16" s="525"/>
      <c r="BF16" s="522">
        <f t="shared" si="18"/>
        <v>0</v>
      </c>
      <c r="BG16" s="527">
        <f t="shared" si="7"/>
        <v>0</v>
      </c>
      <c r="BH16" s="21"/>
      <c r="BI16" s="26"/>
      <c r="BJ16" s="31"/>
      <c r="BK16" s="36"/>
      <c r="BL16" s="41"/>
      <c r="BM16" s="525"/>
      <c r="BN16" s="522">
        <f t="shared" si="19"/>
        <v>0</v>
      </c>
      <c r="BO16" s="527">
        <f t="shared" si="8"/>
        <v>0</v>
      </c>
      <c r="BP16" s="21"/>
      <c r="BQ16" s="26"/>
      <c r="BR16" s="31"/>
      <c r="BS16" s="36"/>
      <c r="BT16" s="41"/>
      <c r="BU16" s="525"/>
      <c r="BV16" s="522">
        <f t="shared" si="20"/>
        <v>0</v>
      </c>
      <c r="BW16" s="527">
        <f t="shared" si="9"/>
        <v>0</v>
      </c>
      <c r="BX16" s="21"/>
      <c r="BY16" s="26"/>
      <c r="BZ16" s="31"/>
      <c r="CA16" s="36"/>
      <c r="CB16" s="41"/>
      <c r="CC16" s="525"/>
      <c r="CD16" s="522">
        <f t="shared" si="21"/>
        <v>0</v>
      </c>
      <c r="CE16" s="527">
        <f t="shared" si="10"/>
        <v>0</v>
      </c>
      <c r="CF16" s="21"/>
      <c r="CG16" s="26"/>
      <c r="CH16" s="31"/>
      <c r="CI16" s="36"/>
      <c r="CJ16" s="41"/>
      <c r="CK16" s="109"/>
      <c r="CL16" s="4"/>
    </row>
    <row r="17" spans="1:92" ht="18" customHeight="1">
      <c r="A17" s="523"/>
      <c r="B17" s="520">
        <f t="shared" si="11"/>
        <v>0</v>
      </c>
      <c r="C17" s="524">
        <f t="shared" si="0"/>
        <v>0</v>
      </c>
      <c r="D17" s="22"/>
      <c r="E17" s="27"/>
      <c r="F17" s="32"/>
      <c r="G17" s="37"/>
      <c r="H17" s="452"/>
      <c r="I17" s="523"/>
      <c r="J17" s="520">
        <f t="shared" si="12"/>
        <v>0</v>
      </c>
      <c r="K17" s="524">
        <f t="shared" si="1"/>
        <v>0</v>
      </c>
      <c r="L17" s="22"/>
      <c r="M17" s="27"/>
      <c r="N17" s="32"/>
      <c r="O17" s="37"/>
      <c r="P17" s="42"/>
      <c r="Q17" s="523"/>
      <c r="R17" s="520">
        <f t="shared" si="13"/>
        <v>0</v>
      </c>
      <c r="S17" s="524">
        <f t="shared" si="2"/>
        <v>0</v>
      </c>
      <c r="T17" s="22"/>
      <c r="U17" s="27"/>
      <c r="V17" s="32"/>
      <c r="W17" s="37"/>
      <c r="X17" s="42"/>
      <c r="Y17" s="523"/>
      <c r="Z17" s="520">
        <f t="shared" si="14"/>
        <v>0</v>
      </c>
      <c r="AA17" s="524">
        <f t="shared" si="3"/>
        <v>0</v>
      </c>
      <c r="AB17" s="22"/>
      <c r="AC17" s="27"/>
      <c r="AD17" s="32"/>
      <c r="AE17" s="37"/>
      <c r="AF17" s="42"/>
      <c r="AG17" s="523"/>
      <c r="AH17" s="520">
        <f t="shared" si="15"/>
        <v>0</v>
      </c>
      <c r="AI17" s="524">
        <f t="shared" si="4"/>
        <v>0</v>
      </c>
      <c r="AJ17" s="22"/>
      <c r="AK17" s="27"/>
      <c r="AL17" s="32"/>
      <c r="AM17" s="37"/>
      <c r="AN17" s="42"/>
      <c r="AO17" s="523"/>
      <c r="AP17" s="520">
        <f t="shared" si="16"/>
        <v>0</v>
      </c>
      <c r="AQ17" s="524">
        <f t="shared" si="5"/>
        <v>0</v>
      </c>
      <c r="AR17" s="22"/>
      <c r="AS17" s="27"/>
      <c r="AT17" s="32"/>
      <c r="AU17" s="37"/>
      <c r="AV17" s="42"/>
      <c r="AW17" s="523"/>
      <c r="AX17" s="520">
        <f t="shared" si="17"/>
        <v>0</v>
      </c>
      <c r="AY17" s="524">
        <f t="shared" si="6"/>
        <v>0</v>
      </c>
      <c r="AZ17" s="22"/>
      <c r="BA17" s="27"/>
      <c r="BB17" s="32"/>
      <c r="BC17" s="37"/>
      <c r="BD17" s="42"/>
      <c r="BE17" s="523"/>
      <c r="BF17" s="520">
        <f t="shared" si="18"/>
        <v>0</v>
      </c>
      <c r="BG17" s="524">
        <f t="shared" si="7"/>
        <v>0</v>
      </c>
      <c r="BH17" s="22"/>
      <c r="BI17" s="27"/>
      <c r="BJ17" s="32"/>
      <c r="BK17" s="37"/>
      <c r="BL17" s="42"/>
      <c r="BM17" s="523"/>
      <c r="BN17" s="520">
        <f t="shared" si="19"/>
        <v>0</v>
      </c>
      <c r="BO17" s="524">
        <f t="shared" si="8"/>
        <v>0</v>
      </c>
      <c r="BP17" s="22"/>
      <c r="BQ17" s="27"/>
      <c r="BR17" s="32"/>
      <c r="BS17" s="37"/>
      <c r="BT17" s="42"/>
      <c r="BU17" s="523"/>
      <c r="BV17" s="520">
        <f t="shared" si="20"/>
        <v>0</v>
      </c>
      <c r="BW17" s="524">
        <f t="shared" si="9"/>
        <v>0</v>
      </c>
      <c r="BX17" s="22"/>
      <c r="BY17" s="27"/>
      <c r="BZ17" s="32"/>
      <c r="CA17" s="37"/>
      <c r="CB17" s="42"/>
      <c r="CC17" s="523"/>
      <c r="CD17" s="520">
        <f t="shared" si="21"/>
        <v>0</v>
      </c>
      <c r="CE17" s="524">
        <f t="shared" si="10"/>
        <v>0</v>
      </c>
      <c r="CF17" s="22"/>
      <c r="CG17" s="27"/>
      <c r="CH17" s="32"/>
      <c r="CI17" s="37"/>
      <c r="CJ17" s="42"/>
      <c r="CK17" s="447"/>
      <c r="CL17" s="5"/>
    </row>
    <row r="18" spans="1:92" ht="18" customHeight="1">
      <c r="A18" s="525"/>
      <c r="B18" s="522">
        <f t="shared" si="11"/>
        <v>0</v>
      </c>
      <c r="C18" s="527">
        <f t="shared" si="0"/>
        <v>0</v>
      </c>
      <c r="D18" s="21"/>
      <c r="E18" s="26"/>
      <c r="F18" s="31"/>
      <c r="G18" s="36"/>
      <c r="H18" s="453"/>
      <c r="I18" s="525"/>
      <c r="J18" s="522">
        <f t="shared" si="12"/>
        <v>0</v>
      </c>
      <c r="K18" s="527">
        <f t="shared" si="1"/>
        <v>0</v>
      </c>
      <c r="L18" s="21"/>
      <c r="M18" s="26"/>
      <c r="N18" s="31"/>
      <c r="O18" s="36"/>
      <c r="P18" s="41"/>
      <c r="Q18" s="525"/>
      <c r="R18" s="522">
        <f t="shared" si="13"/>
        <v>0</v>
      </c>
      <c r="S18" s="527">
        <f t="shared" si="2"/>
        <v>0</v>
      </c>
      <c r="T18" s="21"/>
      <c r="U18" s="26"/>
      <c r="V18" s="31"/>
      <c r="W18" s="36"/>
      <c r="X18" s="41"/>
      <c r="Y18" s="525"/>
      <c r="Z18" s="522">
        <f t="shared" si="14"/>
        <v>0</v>
      </c>
      <c r="AA18" s="527">
        <f t="shared" si="3"/>
        <v>0</v>
      </c>
      <c r="AB18" s="21"/>
      <c r="AC18" s="26"/>
      <c r="AD18" s="31"/>
      <c r="AE18" s="36"/>
      <c r="AF18" s="41"/>
      <c r="AG18" s="525"/>
      <c r="AH18" s="522">
        <f t="shared" si="15"/>
        <v>0</v>
      </c>
      <c r="AI18" s="527">
        <f t="shared" si="4"/>
        <v>0</v>
      </c>
      <c r="AJ18" s="21"/>
      <c r="AK18" s="26"/>
      <c r="AL18" s="31"/>
      <c r="AM18" s="36"/>
      <c r="AN18" s="41"/>
      <c r="AO18" s="525"/>
      <c r="AP18" s="522">
        <f t="shared" si="16"/>
        <v>0</v>
      </c>
      <c r="AQ18" s="527">
        <f t="shared" si="5"/>
        <v>0</v>
      </c>
      <c r="AR18" s="21"/>
      <c r="AS18" s="26"/>
      <c r="AT18" s="31"/>
      <c r="AU18" s="36"/>
      <c r="AV18" s="41"/>
      <c r="AW18" s="525"/>
      <c r="AX18" s="522">
        <f t="shared" si="17"/>
        <v>0</v>
      </c>
      <c r="AY18" s="527">
        <f t="shared" si="6"/>
        <v>0</v>
      </c>
      <c r="AZ18" s="21"/>
      <c r="BA18" s="26"/>
      <c r="BB18" s="31"/>
      <c r="BC18" s="36"/>
      <c r="BD18" s="41"/>
      <c r="BE18" s="525"/>
      <c r="BF18" s="522">
        <f t="shared" si="18"/>
        <v>0</v>
      </c>
      <c r="BG18" s="527">
        <f t="shared" si="7"/>
        <v>0</v>
      </c>
      <c r="BH18" s="21"/>
      <c r="BI18" s="26"/>
      <c r="BJ18" s="31"/>
      <c r="BK18" s="36"/>
      <c r="BL18" s="41"/>
      <c r="BM18" s="525"/>
      <c r="BN18" s="522">
        <f t="shared" si="19"/>
        <v>0</v>
      </c>
      <c r="BO18" s="527">
        <f t="shared" si="8"/>
        <v>0</v>
      </c>
      <c r="BP18" s="21"/>
      <c r="BQ18" s="26"/>
      <c r="BR18" s="31"/>
      <c r="BS18" s="36"/>
      <c r="BT18" s="41"/>
      <c r="BU18" s="525"/>
      <c r="BV18" s="522">
        <f t="shared" si="20"/>
        <v>0</v>
      </c>
      <c r="BW18" s="527">
        <f t="shared" si="9"/>
        <v>0</v>
      </c>
      <c r="BX18" s="21"/>
      <c r="BY18" s="26"/>
      <c r="BZ18" s="31"/>
      <c r="CA18" s="36"/>
      <c r="CB18" s="41"/>
      <c r="CC18" s="525"/>
      <c r="CD18" s="522">
        <f t="shared" si="21"/>
        <v>0</v>
      </c>
      <c r="CE18" s="527">
        <f t="shared" si="10"/>
        <v>0</v>
      </c>
      <c r="CF18" s="21"/>
      <c r="CG18" s="26"/>
      <c r="CH18" s="31"/>
      <c r="CI18" s="36"/>
      <c r="CJ18" s="41"/>
      <c r="CK18" s="109"/>
      <c r="CL18" s="4"/>
    </row>
    <row r="19" spans="1:92" ht="18" customHeight="1">
      <c r="A19" s="523"/>
      <c r="B19" s="520">
        <f t="shared" si="11"/>
        <v>0</v>
      </c>
      <c r="C19" s="524">
        <f t="shared" si="0"/>
        <v>0</v>
      </c>
      <c r="D19" s="22"/>
      <c r="E19" s="27"/>
      <c r="F19" s="32"/>
      <c r="G19" s="37"/>
      <c r="H19" s="452"/>
      <c r="I19" s="523"/>
      <c r="J19" s="520">
        <f t="shared" si="12"/>
        <v>0</v>
      </c>
      <c r="K19" s="524">
        <f t="shared" si="1"/>
        <v>0</v>
      </c>
      <c r="L19" s="22"/>
      <c r="M19" s="27"/>
      <c r="N19" s="32"/>
      <c r="O19" s="37"/>
      <c r="P19" s="42"/>
      <c r="Q19" s="523"/>
      <c r="R19" s="520">
        <f t="shared" si="13"/>
        <v>0</v>
      </c>
      <c r="S19" s="524">
        <f t="shared" si="2"/>
        <v>0</v>
      </c>
      <c r="T19" s="22"/>
      <c r="U19" s="27"/>
      <c r="V19" s="32"/>
      <c r="W19" s="37"/>
      <c r="X19" s="42"/>
      <c r="Y19" s="523"/>
      <c r="Z19" s="520">
        <f t="shared" si="14"/>
        <v>0</v>
      </c>
      <c r="AA19" s="524">
        <f t="shared" si="3"/>
        <v>0</v>
      </c>
      <c r="AB19" s="22"/>
      <c r="AC19" s="27"/>
      <c r="AD19" s="32"/>
      <c r="AE19" s="37"/>
      <c r="AF19" s="42"/>
      <c r="AG19" s="523"/>
      <c r="AH19" s="520">
        <f t="shared" si="15"/>
        <v>0</v>
      </c>
      <c r="AI19" s="524">
        <f t="shared" si="4"/>
        <v>0</v>
      </c>
      <c r="AJ19" s="22"/>
      <c r="AK19" s="27"/>
      <c r="AL19" s="32"/>
      <c r="AM19" s="37"/>
      <c r="AN19" s="42"/>
      <c r="AO19" s="523"/>
      <c r="AP19" s="520">
        <f t="shared" si="16"/>
        <v>0</v>
      </c>
      <c r="AQ19" s="524">
        <f t="shared" si="5"/>
        <v>0</v>
      </c>
      <c r="AR19" s="22"/>
      <c r="AS19" s="27"/>
      <c r="AT19" s="32"/>
      <c r="AU19" s="37"/>
      <c r="AV19" s="42"/>
      <c r="AW19" s="523"/>
      <c r="AX19" s="520">
        <f t="shared" si="17"/>
        <v>0</v>
      </c>
      <c r="AY19" s="524">
        <f t="shared" si="6"/>
        <v>0</v>
      </c>
      <c r="AZ19" s="22"/>
      <c r="BA19" s="27"/>
      <c r="BB19" s="32"/>
      <c r="BC19" s="37"/>
      <c r="BD19" s="42"/>
      <c r="BE19" s="523"/>
      <c r="BF19" s="520">
        <f t="shared" si="18"/>
        <v>0</v>
      </c>
      <c r="BG19" s="524">
        <f t="shared" si="7"/>
        <v>0</v>
      </c>
      <c r="BH19" s="22"/>
      <c r="BI19" s="27"/>
      <c r="BJ19" s="32"/>
      <c r="BK19" s="37"/>
      <c r="BL19" s="42"/>
      <c r="BM19" s="523"/>
      <c r="BN19" s="520">
        <f t="shared" si="19"/>
        <v>0</v>
      </c>
      <c r="BO19" s="524">
        <f t="shared" si="8"/>
        <v>0</v>
      </c>
      <c r="BP19" s="22"/>
      <c r="BQ19" s="27"/>
      <c r="BR19" s="32"/>
      <c r="BS19" s="37"/>
      <c r="BT19" s="42"/>
      <c r="BU19" s="523"/>
      <c r="BV19" s="520">
        <f t="shared" si="20"/>
        <v>0</v>
      </c>
      <c r="BW19" s="524">
        <f t="shared" si="9"/>
        <v>0</v>
      </c>
      <c r="BX19" s="22"/>
      <c r="BY19" s="27"/>
      <c r="BZ19" s="32"/>
      <c r="CA19" s="37"/>
      <c r="CB19" s="42"/>
      <c r="CC19" s="523"/>
      <c r="CD19" s="520">
        <f t="shared" si="21"/>
        <v>0</v>
      </c>
      <c r="CE19" s="524">
        <f t="shared" si="10"/>
        <v>0</v>
      </c>
      <c r="CF19" s="22"/>
      <c r="CG19" s="27"/>
      <c r="CH19" s="32"/>
      <c r="CI19" s="37"/>
      <c r="CJ19" s="42"/>
      <c r="CK19" s="447"/>
      <c r="CL19" s="5"/>
    </row>
    <row r="20" spans="1:92" ht="18" customHeight="1">
      <c r="A20" s="525"/>
      <c r="B20" s="522">
        <f t="shared" si="11"/>
        <v>0</v>
      </c>
      <c r="C20" s="527">
        <f t="shared" si="0"/>
        <v>0</v>
      </c>
      <c r="D20" s="21"/>
      <c r="E20" s="26"/>
      <c r="F20" s="31"/>
      <c r="G20" s="36"/>
      <c r="H20" s="453"/>
      <c r="I20" s="525"/>
      <c r="J20" s="522">
        <f t="shared" si="12"/>
        <v>0</v>
      </c>
      <c r="K20" s="527">
        <f t="shared" si="1"/>
        <v>0</v>
      </c>
      <c r="L20" s="21"/>
      <c r="M20" s="26"/>
      <c r="N20" s="31"/>
      <c r="O20" s="36"/>
      <c r="P20" s="41"/>
      <c r="Q20" s="525"/>
      <c r="R20" s="522">
        <f t="shared" si="13"/>
        <v>0</v>
      </c>
      <c r="S20" s="527">
        <f t="shared" si="2"/>
        <v>0</v>
      </c>
      <c r="T20" s="21"/>
      <c r="U20" s="26"/>
      <c r="V20" s="31"/>
      <c r="W20" s="36"/>
      <c r="X20" s="41"/>
      <c r="Y20" s="525"/>
      <c r="Z20" s="522">
        <f t="shared" si="14"/>
        <v>0</v>
      </c>
      <c r="AA20" s="527">
        <f t="shared" si="3"/>
        <v>0</v>
      </c>
      <c r="AB20" s="21"/>
      <c r="AC20" s="26"/>
      <c r="AD20" s="31"/>
      <c r="AE20" s="36"/>
      <c r="AF20" s="41"/>
      <c r="AG20" s="525"/>
      <c r="AH20" s="522">
        <f t="shared" si="15"/>
        <v>0</v>
      </c>
      <c r="AI20" s="527">
        <f t="shared" si="4"/>
        <v>0</v>
      </c>
      <c r="AJ20" s="21"/>
      <c r="AK20" s="26"/>
      <c r="AL20" s="31"/>
      <c r="AM20" s="36"/>
      <c r="AN20" s="41"/>
      <c r="AO20" s="525"/>
      <c r="AP20" s="522">
        <f t="shared" si="16"/>
        <v>0</v>
      </c>
      <c r="AQ20" s="527">
        <f t="shared" si="5"/>
        <v>0</v>
      </c>
      <c r="AR20" s="21"/>
      <c r="AS20" s="26"/>
      <c r="AT20" s="31"/>
      <c r="AU20" s="36"/>
      <c r="AV20" s="41"/>
      <c r="AW20" s="525"/>
      <c r="AX20" s="522">
        <f t="shared" si="17"/>
        <v>0</v>
      </c>
      <c r="AY20" s="527">
        <f t="shared" si="6"/>
        <v>0</v>
      </c>
      <c r="AZ20" s="21"/>
      <c r="BA20" s="26"/>
      <c r="BB20" s="31"/>
      <c r="BC20" s="36"/>
      <c r="BD20" s="41"/>
      <c r="BE20" s="525"/>
      <c r="BF20" s="522">
        <f t="shared" si="18"/>
        <v>0</v>
      </c>
      <c r="BG20" s="527">
        <f t="shared" si="7"/>
        <v>0</v>
      </c>
      <c r="BH20" s="21"/>
      <c r="BI20" s="26"/>
      <c r="BJ20" s="31"/>
      <c r="BK20" s="36"/>
      <c r="BL20" s="41"/>
      <c r="BM20" s="525"/>
      <c r="BN20" s="522">
        <f t="shared" si="19"/>
        <v>0</v>
      </c>
      <c r="BO20" s="527">
        <f t="shared" si="8"/>
        <v>0</v>
      </c>
      <c r="BP20" s="21"/>
      <c r="BQ20" s="26"/>
      <c r="BR20" s="31"/>
      <c r="BS20" s="36"/>
      <c r="BT20" s="41"/>
      <c r="BU20" s="525"/>
      <c r="BV20" s="522">
        <f t="shared" si="20"/>
        <v>0</v>
      </c>
      <c r="BW20" s="527">
        <f t="shared" si="9"/>
        <v>0</v>
      </c>
      <c r="BX20" s="21"/>
      <c r="BY20" s="26"/>
      <c r="BZ20" s="31"/>
      <c r="CA20" s="36"/>
      <c r="CB20" s="41"/>
      <c r="CC20" s="525"/>
      <c r="CD20" s="522">
        <f t="shared" si="21"/>
        <v>0</v>
      </c>
      <c r="CE20" s="527">
        <f t="shared" si="10"/>
        <v>0</v>
      </c>
      <c r="CF20" s="21"/>
      <c r="CG20" s="26"/>
      <c r="CH20" s="31"/>
      <c r="CI20" s="36"/>
      <c r="CJ20" s="41"/>
      <c r="CK20" s="109"/>
      <c r="CL20" s="4"/>
    </row>
    <row r="21" spans="1:92" ht="18" customHeight="1">
      <c r="A21" s="523"/>
      <c r="B21" s="520">
        <f t="shared" si="11"/>
        <v>0</v>
      </c>
      <c r="C21" s="524">
        <f t="shared" si="0"/>
        <v>0</v>
      </c>
      <c r="D21" s="22"/>
      <c r="E21" s="27"/>
      <c r="F21" s="32"/>
      <c r="G21" s="37"/>
      <c r="H21" s="452"/>
      <c r="I21" s="523"/>
      <c r="J21" s="520">
        <f t="shared" si="12"/>
        <v>0</v>
      </c>
      <c r="K21" s="524">
        <f t="shared" si="1"/>
        <v>0</v>
      </c>
      <c r="L21" s="22"/>
      <c r="M21" s="27"/>
      <c r="N21" s="32"/>
      <c r="O21" s="37"/>
      <c r="P21" s="42"/>
      <c r="Q21" s="523"/>
      <c r="R21" s="520">
        <f t="shared" si="13"/>
        <v>0</v>
      </c>
      <c r="S21" s="524">
        <f t="shared" si="2"/>
        <v>0</v>
      </c>
      <c r="T21" s="22"/>
      <c r="U21" s="27"/>
      <c r="V21" s="32"/>
      <c r="W21" s="37"/>
      <c r="X21" s="42"/>
      <c r="Y21" s="523"/>
      <c r="Z21" s="520">
        <f t="shared" si="14"/>
        <v>0</v>
      </c>
      <c r="AA21" s="524">
        <f t="shared" si="3"/>
        <v>0</v>
      </c>
      <c r="AB21" s="22"/>
      <c r="AC21" s="27"/>
      <c r="AD21" s="32"/>
      <c r="AE21" s="37"/>
      <c r="AF21" s="42"/>
      <c r="AG21" s="523"/>
      <c r="AH21" s="520">
        <f t="shared" si="15"/>
        <v>0</v>
      </c>
      <c r="AI21" s="524">
        <f t="shared" si="4"/>
        <v>0</v>
      </c>
      <c r="AJ21" s="22"/>
      <c r="AK21" s="27"/>
      <c r="AL21" s="32"/>
      <c r="AM21" s="37"/>
      <c r="AN21" s="42"/>
      <c r="AO21" s="523"/>
      <c r="AP21" s="520">
        <f t="shared" si="16"/>
        <v>0</v>
      </c>
      <c r="AQ21" s="524">
        <f t="shared" si="5"/>
        <v>0</v>
      </c>
      <c r="AR21" s="22"/>
      <c r="AS21" s="27"/>
      <c r="AT21" s="32"/>
      <c r="AU21" s="37"/>
      <c r="AV21" s="42"/>
      <c r="AW21" s="523"/>
      <c r="AX21" s="520">
        <f t="shared" si="17"/>
        <v>0</v>
      </c>
      <c r="AY21" s="524">
        <f t="shared" si="6"/>
        <v>0</v>
      </c>
      <c r="AZ21" s="22"/>
      <c r="BA21" s="27"/>
      <c r="BB21" s="32"/>
      <c r="BC21" s="37"/>
      <c r="BD21" s="42"/>
      <c r="BE21" s="523"/>
      <c r="BF21" s="520">
        <f t="shared" si="18"/>
        <v>0</v>
      </c>
      <c r="BG21" s="524">
        <f t="shared" si="7"/>
        <v>0</v>
      </c>
      <c r="BH21" s="22"/>
      <c r="BI21" s="27"/>
      <c r="BJ21" s="32"/>
      <c r="BK21" s="37"/>
      <c r="BL21" s="42"/>
      <c r="BM21" s="523"/>
      <c r="BN21" s="520">
        <f t="shared" si="19"/>
        <v>0</v>
      </c>
      <c r="BO21" s="524">
        <f t="shared" si="8"/>
        <v>0</v>
      </c>
      <c r="BP21" s="22"/>
      <c r="BQ21" s="27"/>
      <c r="BR21" s="32"/>
      <c r="BS21" s="37"/>
      <c r="BT21" s="42"/>
      <c r="BU21" s="523"/>
      <c r="BV21" s="520">
        <f t="shared" si="20"/>
        <v>0</v>
      </c>
      <c r="BW21" s="524">
        <f t="shared" si="9"/>
        <v>0</v>
      </c>
      <c r="BX21" s="22"/>
      <c r="BY21" s="27"/>
      <c r="BZ21" s="32"/>
      <c r="CA21" s="37"/>
      <c r="CB21" s="42"/>
      <c r="CC21" s="523"/>
      <c r="CD21" s="520">
        <f t="shared" si="21"/>
        <v>0</v>
      </c>
      <c r="CE21" s="524">
        <f t="shared" si="10"/>
        <v>0</v>
      </c>
      <c r="CF21" s="22"/>
      <c r="CG21" s="27"/>
      <c r="CH21" s="32"/>
      <c r="CI21" s="37"/>
      <c r="CJ21" s="42"/>
      <c r="CK21" s="447"/>
      <c r="CL21" s="5"/>
    </row>
    <row r="22" spans="1:92" ht="18" customHeight="1">
      <c r="A22" s="525"/>
      <c r="B22" s="522">
        <f t="shared" si="11"/>
        <v>0</v>
      </c>
      <c r="C22" s="527">
        <f t="shared" si="0"/>
        <v>0</v>
      </c>
      <c r="D22" s="21"/>
      <c r="E22" s="26"/>
      <c r="F22" s="31"/>
      <c r="G22" s="36"/>
      <c r="H22" s="453"/>
      <c r="I22" s="525"/>
      <c r="J22" s="522">
        <f t="shared" si="12"/>
        <v>0</v>
      </c>
      <c r="K22" s="527">
        <f t="shared" si="1"/>
        <v>0</v>
      </c>
      <c r="L22" s="21"/>
      <c r="M22" s="26"/>
      <c r="N22" s="31"/>
      <c r="O22" s="36"/>
      <c r="P22" s="41"/>
      <c r="Q22" s="525"/>
      <c r="R22" s="522">
        <f t="shared" si="13"/>
        <v>0</v>
      </c>
      <c r="S22" s="527">
        <f t="shared" si="2"/>
        <v>0</v>
      </c>
      <c r="T22" s="21"/>
      <c r="U22" s="26"/>
      <c r="V22" s="31"/>
      <c r="W22" s="36"/>
      <c r="X22" s="41"/>
      <c r="Y22" s="525"/>
      <c r="Z22" s="522">
        <f t="shared" si="14"/>
        <v>0</v>
      </c>
      <c r="AA22" s="527">
        <f t="shared" si="3"/>
        <v>0</v>
      </c>
      <c r="AB22" s="21"/>
      <c r="AC22" s="26"/>
      <c r="AD22" s="31"/>
      <c r="AE22" s="36"/>
      <c r="AF22" s="41"/>
      <c r="AG22" s="525"/>
      <c r="AH22" s="522">
        <f t="shared" si="15"/>
        <v>0</v>
      </c>
      <c r="AI22" s="527">
        <f t="shared" si="4"/>
        <v>0</v>
      </c>
      <c r="AJ22" s="21"/>
      <c r="AK22" s="26"/>
      <c r="AL22" s="31"/>
      <c r="AM22" s="36"/>
      <c r="AN22" s="41"/>
      <c r="AO22" s="525"/>
      <c r="AP22" s="522">
        <f t="shared" si="16"/>
        <v>0</v>
      </c>
      <c r="AQ22" s="527">
        <f t="shared" si="5"/>
        <v>0</v>
      </c>
      <c r="AR22" s="21"/>
      <c r="AS22" s="26"/>
      <c r="AT22" s="31"/>
      <c r="AU22" s="36"/>
      <c r="AV22" s="41"/>
      <c r="AW22" s="525"/>
      <c r="AX22" s="522">
        <f t="shared" si="17"/>
        <v>0</v>
      </c>
      <c r="AY22" s="527">
        <f t="shared" si="6"/>
        <v>0</v>
      </c>
      <c r="AZ22" s="21"/>
      <c r="BA22" s="26"/>
      <c r="BB22" s="31"/>
      <c r="BC22" s="36"/>
      <c r="BD22" s="41"/>
      <c r="BE22" s="525"/>
      <c r="BF22" s="522">
        <f t="shared" si="18"/>
        <v>0</v>
      </c>
      <c r="BG22" s="527">
        <f t="shared" si="7"/>
        <v>0</v>
      </c>
      <c r="BH22" s="21"/>
      <c r="BI22" s="26"/>
      <c r="BJ22" s="31"/>
      <c r="BK22" s="36"/>
      <c r="BL22" s="41"/>
      <c r="BM22" s="525"/>
      <c r="BN22" s="522">
        <f t="shared" si="19"/>
        <v>0</v>
      </c>
      <c r="BO22" s="527">
        <f t="shared" si="8"/>
        <v>0</v>
      </c>
      <c r="BP22" s="21"/>
      <c r="BQ22" s="26"/>
      <c r="BR22" s="31"/>
      <c r="BS22" s="36"/>
      <c r="BT22" s="41"/>
      <c r="BU22" s="525"/>
      <c r="BV22" s="522">
        <f t="shared" si="20"/>
        <v>0</v>
      </c>
      <c r="BW22" s="527">
        <f t="shared" si="9"/>
        <v>0</v>
      </c>
      <c r="BX22" s="21"/>
      <c r="BY22" s="26"/>
      <c r="BZ22" s="31"/>
      <c r="CA22" s="36"/>
      <c r="CB22" s="41"/>
      <c r="CC22" s="525"/>
      <c r="CD22" s="522">
        <f t="shared" si="21"/>
        <v>0</v>
      </c>
      <c r="CE22" s="527">
        <f t="shared" si="10"/>
        <v>0</v>
      </c>
      <c r="CF22" s="21"/>
      <c r="CG22" s="26"/>
      <c r="CH22" s="31"/>
      <c r="CI22" s="36"/>
      <c r="CJ22" s="41"/>
      <c r="CK22" s="109"/>
      <c r="CL22" s="4"/>
    </row>
    <row r="23" spans="1:92" ht="18" customHeight="1">
      <c r="A23" s="523"/>
      <c r="B23" s="520">
        <f t="shared" si="11"/>
        <v>0</v>
      </c>
      <c r="C23" s="524">
        <f t="shared" si="0"/>
        <v>0</v>
      </c>
      <c r="D23" s="22"/>
      <c r="E23" s="27"/>
      <c r="F23" s="32"/>
      <c r="G23" s="37"/>
      <c r="H23" s="452"/>
      <c r="I23" s="523"/>
      <c r="J23" s="520">
        <f t="shared" si="12"/>
        <v>0</v>
      </c>
      <c r="K23" s="524">
        <f t="shared" si="1"/>
        <v>0</v>
      </c>
      <c r="L23" s="22"/>
      <c r="M23" s="27"/>
      <c r="N23" s="32"/>
      <c r="O23" s="37"/>
      <c r="P23" s="42"/>
      <c r="Q23" s="523"/>
      <c r="R23" s="520">
        <f t="shared" si="13"/>
        <v>0</v>
      </c>
      <c r="S23" s="524">
        <f t="shared" si="2"/>
        <v>0</v>
      </c>
      <c r="T23" s="22"/>
      <c r="U23" s="27"/>
      <c r="V23" s="32"/>
      <c r="W23" s="37"/>
      <c r="X23" s="42"/>
      <c r="Y23" s="523"/>
      <c r="Z23" s="520">
        <f t="shared" si="14"/>
        <v>0</v>
      </c>
      <c r="AA23" s="524">
        <f t="shared" si="3"/>
        <v>0</v>
      </c>
      <c r="AB23" s="22"/>
      <c r="AC23" s="27"/>
      <c r="AD23" s="32"/>
      <c r="AE23" s="37"/>
      <c r="AF23" s="42"/>
      <c r="AG23" s="523"/>
      <c r="AH23" s="520">
        <f t="shared" si="15"/>
        <v>0</v>
      </c>
      <c r="AI23" s="524">
        <f t="shared" si="4"/>
        <v>0</v>
      </c>
      <c r="AJ23" s="22"/>
      <c r="AK23" s="27"/>
      <c r="AL23" s="32"/>
      <c r="AM23" s="37"/>
      <c r="AN23" s="42"/>
      <c r="AO23" s="523"/>
      <c r="AP23" s="520">
        <f t="shared" si="16"/>
        <v>0</v>
      </c>
      <c r="AQ23" s="524">
        <f t="shared" si="5"/>
        <v>0</v>
      </c>
      <c r="AR23" s="22"/>
      <c r="AS23" s="27"/>
      <c r="AT23" s="32"/>
      <c r="AU23" s="37"/>
      <c r="AV23" s="42"/>
      <c r="AW23" s="523"/>
      <c r="AX23" s="520">
        <f t="shared" si="17"/>
        <v>0</v>
      </c>
      <c r="AY23" s="524">
        <f t="shared" si="6"/>
        <v>0</v>
      </c>
      <c r="AZ23" s="22"/>
      <c r="BA23" s="27"/>
      <c r="BB23" s="32"/>
      <c r="BC23" s="37"/>
      <c r="BD23" s="42"/>
      <c r="BE23" s="523"/>
      <c r="BF23" s="520">
        <f t="shared" si="18"/>
        <v>0</v>
      </c>
      <c r="BG23" s="524">
        <f t="shared" si="7"/>
        <v>0</v>
      </c>
      <c r="BH23" s="22"/>
      <c r="BI23" s="27"/>
      <c r="BJ23" s="32"/>
      <c r="BK23" s="37"/>
      <c r="BL23" s="42"/>
      <c r="BM23" s="523"/>
      <c r="BN23" s="520">
        <f t="shared" si="19"/>
        <v>0</v>
      </c>
      <c r="BO23" s="524">
        <f t="shared" si="8"/>
        <v>0</v>
      </c>
      <c r="BP23" s="22"/>
      <c r="BQ23" s="27"/>
      <c r="BR23" s="32"/>
      <c r="BS23" s="37"/>
      <c r="BT23" s="42"/>
      <c r="BU23" s="523"/>
      <c r="BV23" s="520">
        <f t="shared" si="20"/>
        <v>0</v>
      </c>
      <c r="BW23" s="524">
        <f t="shared" si="9"/>
        <v>0</v>
      </c>
      <c r="BX23" s="22"/>
      <c r="BY23" s="27"/>
      <c r="BZ23" s="32"/>
      <c r="CA23" s="37"/>
      <c r="CB23" s="42"/>
      <c r="CC23" s="523"/>
      <c r="CD23" s="520">
        <f t="shared" si="21"/>
        <v>0</v>
      </c>
      <c r="CE23" s="524">
        <f t="shared" si="10"/>
        <v>0</v>
      </c>
      <c r="CF23" s="22"/>
      <c r="CG23" s="27"/>
      <c r="CH23" s="32"/>
      <c r="CI23" s="37"/>
      <c r="CJ23" s="42"/>
      <c r="CK23" s="447"/>
      <c r="CL23" s="5"/>
    </row>
    <row r="24" spans="1:92" ht="18" customHeight="1">
      <c r="A24" s="525"/>
      <c r="B24" s="522">
        <f t="shared" si="11"/>
        <v>0</v>
      </c>
      <c r="C24" s="527">
        <f t="shared" si="0"/>
        <v>0</v>
      </c>
      <c r="D24" s="21"/>
      <c r="E24" s="26"/>
      <c r="F24" s="31"/>
      <c r="G24" s="36"/>
      <c r="H24" s="453"/>
      <c r="I24" s="525"/>
      <c r="J24" s="522">
        <f t="shared" si="12"/>
        <v>0</v>
      </c>
      <c r="K24" s="527">
        <f t="shared" si="1"/>
        <v>0</v>
      </c>
      <c r="L24" s="21"/>
      <c r="M24" s="26"/>
      <c r="N24" s="31"/>
      <c r="O24" s="36"/>
      <c r="P24" s="41"/>
      <c r="Q24" s="525"/>
      <c r="R24" s="522">
        <f t="shared" si="13"/>
        <v>0</v>
      </c>
      <c r="S24" s="527">
        <f t="shared" si="2"/>
        <v>0</v>
      </c>
      <c r="T24" s="21"/>
      <c r="U24" s="26"/>
      <c r="V24" s="31"/>
      <c r="W24" s="36"/>
      <c r="X24" s="41"/>
      <c r="Y24" s="525"/>
      <c r="Z24" s="522">
        <f t="shared" si="14"/>
        <v>0</v>
      </c>
      <c r="AA24" s="527">
        <f t="shared" si="3"/>
        <v>0</v>
      </c>
      <c r="AB24" s="21"/>
      <c r="AC24" s="26"/>
      <c r="AD24" s="31"/>
      <c r="AE24" s="36"/>
      <c r="AF24" s="41"/>
      <c r="AG24" s="525"/>
      <c r="AH24" s="522">
        <f t="shared" si="15"/>
        <v>0</v>
      </c>
      <c r="AI24" s="527">
        <f t="shared" si="4"/>
        <v>0</v>
      </c>
      <c r="AJ24" s="21"/>
      <c r="AK24" s="26"/>
      <c r="AL24" s="31"/>
      <c r="AM24" s="36"/>
      <c r="AN24" s="41"/>
      <c r="AO24" s="525"/>
      <c r="AP24" s="522">
        <f t="shared" si="16"/>
        <v>0</v>
      </c>
      <c r="AQ24" s="527">
        <f t="shared" si="5"/>
        <v>0</v>
      </c>
      <c r="AR24" s="21"/>
      <c r="AS24" s="26"/>
      <c r="AT24" s="31"/>
      <c r="AU24" s="36"/>
      <c r="AV24" s="41"/>
      <c r="AW24" s="525"/>
      <c r="AX24" s="522">
        <f t="shared" si="17"/>
        <v>0</v>
      </c>
      <c r="AY24" s="527">
        <f t="shared" si="6"/>
        <v>0</v>
      </c>
      <c r="AZ24" s="21"/>
      <c r="BA24" s="26"/>
      <c r="BB24" s="31"/>
      <c r="BC24" s="36"/>
      <c r="BD24" s="41"/>
      <c r="BE24" s="525"/>
      <c r="BF24" s="522">
        <f t="shared" si="18"/>
        <v>0</v>
      </c>
      <c r="BG24" s="527">
        <f t="shared" si="7"/>
        <v>0</v>
      </c>
      <c r="BH24" s="21"/>
      <c r="BI24" s="26"/>
      <c r="BJ24" s="31"/>
      <c r="BK24" s="36"/>
      <c r="BL24" s="41"/>
      <c r="BM24" s="525"/>
      <c r="BN24" s="522">
        <f t="shared" si="19"/>
        <v>0</v>
      </c>
      <c r="BO24" s="527">
        <f t="shared" si="8"/>
        <v>0</v>
      </c>
      <c r="BP24" s="21"/>
      <c r="BQ24" s="26"/>
      <c r="BR24" s="31"/>
      <c r="BS24" s="36"/>
      <c r="BT24" s="41"/>
      <c r="BU24" s="525"/>
      <c r="BV24" s="522">
        <f t="shared" si="20"/>
        <v>0</v>
      </c>
      <c r="BW24" s="527">
        <f t="shared" si="9"/>
        <v>0</v>
      </c>
      <c r="BX24" s="21"/>
      <c r="BY24" s="26"/>
      <c r="BZ24" s="31"/>
      <c r="CA24" s="36"/>
      <c r="CB24" s="41"/>
      <c r="CC24" s="525"/>
      <c r="CD24" s="522">
        <f t="shared" si="21"/>
        <v>0</v>
      </c>
      <c r="CE24" s="527">
        <f t="shared" si="10"/>
        <v>0</v>
      </c>
      <c r="CF24" s="21"/>
      <c r="CG24" s="26"/>
      <c r="CH24" s="31"/>
      <c r="CI24" s="36"/>
      <c r="CJ24" s="41"/>
      <c r="CK24" s="109"/>
      <c r="CL24" s="4"/>
    </row>
    <row r="25" spans="1:92" ht="18" customHeight="1">
      <c r="A25" s="523"/>
      <c r="B25" s="520">
        <f t="shared" si="11"/>
        <v>0</v>
      </c>
      <c r="C25" s="524">
        <f t="shared" si="0"/>
        <v>0</v>
      </c>
      <c r="D25" s="22"/>
      <c r="E25" s="27"/>
      <c r="F25" s="32"/>
      <c r="G25" s="37"/>
      <c r="H25" s="452"/>
      <c r="I25" s="523"/>
      <c r="J25" s="520">
        <f t="shared" si="12"/>
        <v>0</v>
      </c>
      <c r="K25" s="524">
        <f t="shared" si="1"/>
        <v>0</v>
      </c>
      <c r="L25" s="22"/>
      <c r="M25" s="27"/>
      <c r="N25" s="32"/>
      <c r="O25" s="37"/>
      <c r="P25" s="42"/>
      <c r="Q25" s="523"/>
      <c r="R25" s="520">
        <f t="shared" si="13"/>
        <v>0</v>
      </c>
      <c r="S25" s="524">
        <f t="shared" si="2"/>
        <v>0</v>
      </c>
      <c r="T25" s="22"/>
      <c r="U25" s="27"/>
      <c r="V25" s="32"/>
      <c r="W25" s="37"/>
      <c r="X25" s="42"/>
      <c r="Y25" s="523"/>
      <c r="Z25" s="520">
        <f t="shared" si="14"/>
        <v>0</v>
      </c>
      <c r="AA25" s="524">
        <f t="shared" si="3"/>
        <v>0</v>
      </c>
      <c r="AB25" s="22"/>
      <c r="AC25" s="27"/>
      <c r="AD25" s="32"/>
      <c r="AE25" s="37"/>
      <c r="AF25" s="42"/>
      <c r="AG25" s="523"/>
      <c r="AH25" s="520">
        <f t="shared" si="15"/>
        <v>0</v>
      </c>
      <c r="AI25" s="524">
        <f t="shared" si="4"/>
        <v>0</v>
      </c>
      <c r="AJ25" s="22"/>
      <c r="AK25" s="27"/>
      <c r="AL25" s="32"/>
      <c r="AM25" s="37"/>
      <c r="AN25" s="42"/>
      <c r="AO25" s="523"/>
      <c r="AP25" s="520">
        <f t="shared" si="16"/>
        <v>0</v>
      </c>
      <c r="AQ25" s="524">
        <f t="shared" si="5"/>
        <v>0</v>
      </c>
      <c r="AR25" s="22"/>
      <c r="AS25" s="27"/>
      <c r="AT25" s="32"/>
      <c r="AU25" s="37"/>
      <c r="AV25" s="42"/>
      <c r="AW25" s="523"/>
      <c r="AX25" s="520">
        <f t="shared" si="17"/>
        <v>0</v>
      </c>
      <c r="AY25" s="524">
        <f t="shared" si="6"/>
        <v>0</v>
      </c>
      <c r="AZ25" s="22"/>
      <c r="BA25" s="27"/>
      <c r="BB25" s="32"/>
      <c r="BC25" s="37"/>
      <c r="BD25" s="42"/>
      <c r="BE25" s="523"/>
      <c r="BF25" s="520">
        <f t="shared" si="18"/>
        <v>0</v>
      </c>
      <c r="BG25" s="524">
        <f t="shared" si="7"/>
        <v>0</v>
      </c>
      <c r="BH25" s="22"/>
      <c r="BI25" s="27"/>
      <c r="BJ25" s="32"/>
      <c r="BK25" s="37"/>
      <c r="BL25" s="42"/>
      <c r="BM25" s="523"/>
      <c r="BN25" s="520">
        <f t="shared" si="19"/>
        <v>0</v>
      </c>
      <c r="BO25" s="524">
        <f t="shared" si="8"/>
        <v>0</v>
      </c>
      <c r="BP25" s="22"/>
      <c r="BQ25" s="27"/>
      <c r="BR25" s="32"/>
      <c r="BS25" s="37"/>
      <c r="BT25" s="42"/>
      <c r="BU25" s="523"/>
      <c r="BV25" s="520">
        <f t="shared" si="20"/>
        <v>0</v>
      </c>
      <c r="BW25" s="524">
        <f t="shared" si="9"/>
        <v>0</v>
      </c>
      <c r="BX25" s="22"/>
      <c r="BY25" s="27"/>
      <c r="BZ25" s="32"/>
      <c r="CA25" s="37"/>
      <c r="CB25" s="42"/>
      <c r="CC25" s="523"/>
      <c r="CD25" s="520">
        <f t="shared" si="21"/>
        <v>0</v>
      </c>
      <c r="CE25" s="524">
        <f t="shared" si="10"/>
        <v>0</v>
      </c>
      <c r="CF25" s="22"/>
      <c r="CG25" s="27"/>
      <c r="CH25" s="32"/>
      <c r="CI25" s="37"/>
      <c r="CJ25" s="42"/>
      <c r="CK25" s="447"/>
      <c r="CL25" s="5"/>
    </row>
    <row r="26" spans="1:92" ht="18" customHeight="1">
      <c r="A26" s="525"/>
      <c r="B26" s="522">
        <f t="shared" si="11"/>
        <v>0</v>
      </c>
      <c r="C26" s="527">
        <f t="shared" si="0"/>
        <v>0</v>
      </c>
      <c r="D26" s="21"/>
      <c r="E26" s="26"/>
      <c r="F26" s="31"/>
      <c r="G26" s="36"/>
      <c r="H26" s="453"/>
      <c r="I26" s="525"/>
      <c r="J26" s="522">
        <f t="shared" si="12"/>
        <v>0</v>
      </c>
      <c r="K26" s="527">
        <f t="shared" si="1"/>
        <v>0</v>
      </c>
      <c r="L26" s="21"/>
      <c r="M26" s="26"/>
      <c r="N26" s="31"/>
      <c r="O26" s="36"/>
      <c r="P26" s="41"/>
      <c r="Q26" s="525"/>
      <c r="R26" s="522">
        <f t="shared" si="13"/>
        <v>0</v>
      </c>
      <c r="S26" s="527">
        <f t="shared" si="2"/>
        <v>0</v>
      </c>
      <c r="T26" s="21"/>
      <c r="U26" s="26"/>
      <c r="V26" s="31"/>
      <c r="W26" s="36"/>
      <c r="X26" s="41"/>
      <c r="Y26" s="525"/>
      <c r="Z26" s="522">
        <f t="shared" si="14"/>
        <v>0</v>
      </c>
      <c r="AA26" s="527">
        <f t="shared" si="3"/>
        <v>0</v>
      </c>
      <c r="AB26" s="21"/>
      <c r="AC26" s="26"/>
      <c r="AD26" s="31"/>
      <c r="AE26" s="36"/>
      <c r="AF26" s="41"/>
      <c r="AG26" s="525"/>
      <c r="AH26" s="522">
        <f t="shared" si="15"/>
        <v>0</v>
      </c>
      <c r="AI26" s="527">
        <f t="shared" si="4"/>
        <v>0</v>
      </c>
      <c r="AJ26" s="21"/>
      <c r="AK26" s="26"/>
      <c r="AL26" s="31"/>
      <c r="AM26" s="36"/>
      <c r="AN26" s="41"/>
      <c r="AO26" s="525"/>
      <c r="AP26" s="522">
        <f t="shared" si="16"/>
        <v>0</v>
      </c>
      <c r="AQ26" s="527">
        <f t="shared" si="5"/>
        <v>0</v>
      </c>
      <c r="AR26" s="21"/>
      <c r="AS26" s="26"/>
      <c r="AT26" s="31"/>
      <c r="AU26" s="36"/>
      <c r="AV26" s="41"/>
      <c r="AW26" s="525"/>
      <c r="AX26" s="522">
        <f t="shared" si="17"/>
        <v>0</v>
      </c>
      <c r="AY26" s="527">
        <f t="shared" si="6"/>
        <v>0</v>
      </c>
      <c r="AZ26" s="21"/>
      <c r="BA26" s="26"/>
      <c r="BB26" s="31"/>
      <c r="BC26" s="36"/>
      <c r="BD26" s="41"/>
      <c r="BE26" s="525"/>
      <c r="BF26" s="522">
        <f t="shared" si="18"/>
        <v>0</v>
      </c>
      <c r="BG26" s="527">
        <f t="shared" si="7"/>
        <v>0</v>
      </c>
      <c r="BH26" s="21"/>
      <c r="BI26" s="26"/>
      <c r="BJ26" s="31"/>
      <c r="BK26" s="36"/>
      <c r="BL26" s="41"/>
      <c r="BM26" s="525"/>
      <c r="BN26" s="522">
        <f t="shared" si="19"/>
        <v>0</v>
      </c>
      <c r="BO26" s="527">
        <f t="shared" si="8"/>
        <v>0</v>
      </c>
      <c r="BP26" s="21"/>
      <c r="BQ26" s="26"/>
      <c r="BR26" s="31"/>
      <c r="BS26" s="36"/>
      <c r="BT26" s="41"/>
      <c r="BU26" s="525"/>
      <c r="BV26" s="522">
        <f t="shared" si="20"/>
        <v>0</v>
      </c>
      <c r="BW26" s="527">
        <f t="shared" si="9"/>
        <v>0</v>
      </c>
      <c r="BX26" s="21"/>
      <c r="BY26" s="26"/>
      <c r="BZ26" s="31"/>
      <c r="CA26" s="36"/>
      <c r="CB26" s="41"/>
      <c r="CC26" s="525"/>
      <c r="CD26" s="522">
        <f t="shared" si="21"/>
        <v>0</v>
      </c>
      <c r="CE26" s="527">
        <f t="shared" si="10"/>
        <v>0</v>
      </c>
      <c r="CF26" s="21"/>
      <c r="CG26" s="26"/>
      <c r="CH26" s="31"/>
      <c r="CI26" s="36"/>
      <c r="CJ26" s="41"/>
      <c r="CK26" s="109"/>
      <c r="CL26" s="4"/>
    </row>
    <row r="27" spans="1:92" ht="18" customHeight="1">
      <c r="A27" s="523"/>
      <c r="B27" s="520">
        <f t="shared" si="11"/>
        <v>0</v>
      </c>
      <c r="C27" s="524">
        <f t="shared" si="0"/>
        <v>0</v>
      </c>
      <c r="D27" s="22"/>
      <c r="E27" s="27"/>
      <c r="F27" s="32"/>
      <c r="G27" s="37"/>
      <c r="H27" s="452"/>
      <c r="I27" s="523"/>
      <c r="J27" s="520">
        <f t="shared" si="12"/>
        <v>0</v>
      </c>
      <c r="K27" s="524">
        <f t="shared" si="1"/>
        <v>0</v>
      </c>
      <c r="L27" s="22"/>
      <c r="M27" s="27"/>
      <c r="N27" s="32"/>
      <c r="O27" s="37"/>
      <c r="P27" s="42"/>
      <c r="Q27" s="523"/>
      <c r="R27" s="520">
        <f t="shared" si="13"/>
        <v>0</v>
      </c>
      <c r="S27" s="524">
        <f t="shared" si="2"/>
        <v>0</v>
      </c>
      <c r="T27" s="22"/>
      <c r="U27" s="27"/>
      <c r="V27" s="32"/>
      <c r="W27" s="37"/>
      <c r="X27" s="42"/>
      <c r="Y27" s="523"/>
      <c r="Z27" s="520">
        <f t="shared" si="14"/>
        <v>0</v>
      </c>
      <c r="AA27" s="524">
        <f t="shared" si="3"/>
        <v>0</v>
      </c>
      <c r="AB27" s="22"/>
      <c r="AC27" s="27"/>
      <c r="AD27" s="32"/>
      <c r="AE27" s="37"/>
      <c r="AF27" s="42"/>
      <c r="AG27" s="523"/>
      <c r="AH27" s="520">
        <f t="shared" si="15"/>
        <v>0</v>
      </c>
      <c r="AI27" s="524">
        <f t="shared" si="4"/>
        <v>0</v>
      </c>
      <c r="AJ27" s="22"/>
      <c r="AK27" s="27"/>
      <c r="AL27" s="32"/>
      <c r="AM27" s="37"/>
      <c r="AN27" s="42"/>
      <c r="AO27" s="523"/>
      <c r="AP27" s="520">
        <f t="shared" si="16"/>
        <v>0</v>
      </c>
      <c r="AQ27" s="524">
        <f t="shared" si="5"/>
        <v>0</v>
      </c>
      <c r="AR27" s="22"/>
      <c r="AS27" s="27"/>
      <c r="AT27" s="32"/>
      <c r="AU27" s="37"/>
      <c r="AV27" s="42"/>
      <c r="AW27" s="523"/>
      <c r="AX27" s="520">
        <f t="shared" si="17"/>
        <v>0</v>
      </c>
      <c r="AY27" s="524">
        <f t="shared" si="6"/>
        <v>0</v>
      </c>
      <c r="AZ27" s="22"/>
      <c r="BA27" s="27"/>
      <c r="BB27" s="32"/>
      <c r="BC27" s="37"/>
      <c r="BD27" s="42"/>
      <c r="BE27" s="523"/>
      <c r="BF27" s="520">
        <f t="shared" si="18"/>
        <v>0</v>
      </c>
      <c r="BG27" s="524">
        <f t="shared" si="7"/>
        <v>0</v>
      </c>
      <c r="BH27" s="22"/>
      <c r="BI27" s="27"/>
      <c r="BJ27" s="32"/>
      <c r="BK27" s="37"/>
      <c r="BL27" s="42"/>
      <c r="BM27" s="523"/>
      <c r="BN27" s="520">
        <f t="shared" si="19"/>
        <v>0</v>
      </c>
      <c r="BO27" s="524">
        <f t="shared" si="8"/>
        <v>0</v>
      </c>
      <c r="BP27" s="22"/>
      <c r="BQ27" s="27"/>
      <c r="BR27" s="32"/>
      <c r="BS27" s="37"/>
      <c r="BT27" s="42"/>
      <c r="BU27" s="523"/>
      <c r="BV27" s="520">
        <f t="shared" si="20"/>
        <v>0</v>
      </c>
      <c r="BW27" s="524">
        <f t="shared" si="9"/>
        <v>0</v>
      </c>
      <c r="BX27" s="22"/>
      <c r="BY27" s="27"/>
      <c r="BZ27" s="32"/>
      <c r="CA27" s="37"/>
      <c r="CB27" s="42"/>
      <c r="CC27" s="523"/>
      <c r="CD27" s="520">
        <f t="shared" si="21"/>
        <v>0</v>
      </c>
      <c r="CE27" s="524">
        <f t="shared" si="10"/>
        <v>0</v>
      </c>
      <c r="CF27" s="22"/>
      <c r="CG27" s="27"/>
      <c r="CH27" s="32"/>
      <c r="CI27" s="37"/>
      <c r="CJ27" s="42"/>
      <c r="CK27" s="447"/>
      <c r="CL27" s="5"/>
    </row>
    <row r="28" spans="1:92" ht="18" customHeight="1">
      <c r="A28" s="525"/>
      <c r="B28" s="522">
        <f t="shared" si="11"/>
        <v>0</v>
      </c>
      <c r="C28" s="527">
        <f t="shared" si="0"/>
        <v>0</v>
      </c>
      <c r="D28" s="21"/>
      <c r="E28" s="26"/>
      <c r="F28" s="31"/>
      <c r="G28" s="36"/>
      <c r="H28" s="453"/>
      <c r="I28" s="525"/>
      <c r="J28" s="522">
        <f t="shared" si="12"/>
        <v>0</v>
      </c>
      <c r="K28" s="527">
        <f t="shared" si="1"/>
        <v>0</v>
      </c>
      <c r="L28" s="21"/>
      <c r="M28" s="26"/>
      <c r="N28" s="31"/>
      <c r="O28" s="36"/>
      <c r="P28" s="41"/>
      <c r="Q28" s="525"/>
      <c r="R28" s="522">
        <f t="shared" si="13"/>
        <v>0</v>
      </c>
      <c r="S28" s="527">
        <f t="shared" si="2"/>
        <v>0</v>
      </c>
      <c r="T28" s="21"/>
      <c r="U28" s="26"/>
      <c r="V28" s="31"/>
      <c r="W28" s="36"/>
      <c r="X28" s="41"/>
      <c r="Y28" s="525"/>
      <c r="Z28" s="522">
        <f t="shared" si="14"/>
        <v>0</v>
      </c>
      <c r="AA28" s="527">
        <f t="shared" si="3"/>
        <v>0</v>
      </c>
      <c r="AB28" s="21"/>
      <c r="AC28" s="26"/>
      <c r="AD28" s="31"/>
      <c r="AE28" s="36"/>
      <c r="AF28" s="41"/>
      <c r="AG28" s="525"/>
      <c r="AH28" s="522">
        <f t="shared" si="15"/>
        <v>0</v>
      </c>
      <c r="AI28" s="527">
        <f t="shared" si="4"/>
        <v>0</v>
      </c>
      <c r="AJ28" s="21"/>
      <c r="AK28" s="26"/>
      <c r="AL28" s="31"/>
      <c r="AM28" s="36"/>
      <c r="AN28" s="41"/>
      <c r="AO28" s="525"/>
      <c r="AP28" s="522">
        <f t="shared" si="16"/>
        <v>0</v>
      </c>
      <c r="AQ28" s="527">
        <f t="shared" si="5"/>
        <v>0</v>
      </c>
      <c r="AR28" s="21"/>
      <c r="AS28" s="26"/>
      <c r="AT28" s="31"/>
      <c r="AU28" s="36"/>
      <c r="AV28" s="41"/>
      <c r="AW28" s="525"/>
      <c r="AX28" s="522">
        <f t="shared" si="17"/>
        <v>0</v>
      </c>
      <c r="AY28" s="527">
        <f t="shared" si="6"/>
        <v>0</v>
      </c>
      <c r="AZ28" s="21"/>
      <c r="BA28" s="26"/>
      <c r="BB28" s="31"/>
      <c r="BC28" s="36"/>
      <c r="BD28" s="41"/>
      <c r="BE28" s="525"/>
      <c r="BF28" s="522">
        <f t="shared" si="18"/>
        <v>0</v>
      </c>
      <c r="BG28" s="527">
        <f t="shared" si="7"/>
        <v>0</v>
      </c>
      <c r="BH28" s="21"/>
      <c r="BI28" s="26"/>
      <c r="BJ28" s="31"/>
      <c r="BK28" s="36"/>
      <c r="BL28" s="41"/>
      <c r="BM28" s="525"/>
      <c r="BN28" s="522">
        <f t="shared" si="19"/>
        <v>0</v>
      </c>
      <c r="BO28" s="527">
        <f t="shared" si="8"/>
        <v>0</v>
      </c>
      <c r="BP28" s="21"/>
      <c r="BQ28" s="26"/>
      <c r="BR28" s="31"/>
      <c r="BS28" s="36"/>
      <c r="BT28" s="41"/>
      <c r="BU28" s="525"/>
      <c r="BV28" s="522">
        <f t="shared" si="20"/>
        <v>0</v>
      </c>
      <c r="BW28" s="527">
        <f t="shared" si="9"/>
        <v>0</v>
      </c>
      <c r="BX28" s="21"/>
      <c r="BY28" s="26"/>
      <c r="BZ28" s="31"/>
      <c r="CA28" s="36"/>
      <c r="CB28" s="41"/>
      <c r="CC28" s="525"/>
      <c r="CD28" s="522">
        <f t="shared" si="21"/>
        <v>0</v>
      </c>
      <c r="CE28" s="527">
        <f t="shared" si="10"/>
        <v>0</v>
      </c>
      <c r="CF28" s="21"/>
      <c r="CG28" s="26"/>
      <c r="CH28" s="31"/>
      <c r="CI28" s="36"/>
      <c r="CJ28" s="41"/>
      <c r="CK28" s="109"/>
      <c r="CL28" s="4"/>
    </row>
    <row r="29" spans="1:92" ht="18" customHeight="1">
      <c r="A29" s="523"/>
      <c r="B29" s="520">
        <f t="shared" si="11"/>
        <v>0</v>
      </c>
      <c r="C29" s="524">
        <f t="shared" si="0"/>
        <v>0</v>
      </c>
      <c r="D29" s="22"/>
      <c r="E29" s="27"/>
      <c r="F29" s="32"/>
      <c r="G29" s="37"/>
      <c r="H29" s="452"/>
      <c r="I29" s="523"/>
      <c r="J29" s="520">
        <f t="shared" si="12"/>
        <v>0</v>
      </c>
      <c r="K29" s="524">
        <f t="shared" si="1"/>
        <v>0</v>
      </c>
      <c r="L29" s="22"/>
      <c r="M29" s="27"/>
      <c r="N29" s="32"/>
      <c r="O29" s="37"/>
      <c r="P29" s="42"/>
      <c r="Q29" s="523"/>
      <c r="R29" s="520">
        <f t="shared" si="13"/>
        <v>0</v>
      </c>
      <c r="S29" s="524">
        <f t="shared" si="2"/>
        <v>0</v>
      </c>
      <c r="T29" s="22"/>
      <c r="U29" s="27"/>
      <c r="V29" s="32"/>
      <c r="W29" s="37"/>
      <c r="X29" s="42"/>
      <c r="Y29" s="523"/>
      <c r="Z29" s="520">
        <f t="shared" si="14"/>
        <v>0</v>
      </c>
      <c r="AA29" s="524">
        <f t="shared" si="3"/>
        <v>0</v>
      </c>
      <c r="AB29" s="22"/>
      <c r="AC29" s="27"/>
      <c r="AD29" s="32"/>
      <c r="AE29" s="37"/>
      <c r="AF29" s="42"/>
      <c r="AG29" s="523"/>
      <c r="AH29" s="520">
        <f t="shared" si="15"/>
        <v>0</v>
      </c>
      <c r="AI29" s="524">
        <f t="shared" si="4"/>
        <v>0</v>
      </c>
      <c r="AJ29" s="22"/>
      <c r="AK29" s="27"/>
      <c r="AL29" s="32"/>
      <c r="AM29" s="37"/>
      <c r="AN29" s="42"/>
      <c r="AO29" s="523"/>
      <c r="AP29" s="520">
        <f t="shared" si="16"/>
        <v>0</v>
      </c>
      <c r="AQ29" s="524">
        <f t="shared" si="5"/>
        <v>0</v>
      </c>
      <c r="AR29" s="22"/>
      <c r="AS29" s="27"/>
      <c r="AT29" s="32"/>
      <c r="AU29" s="37"/>
      <c r="AV29" s="42"/>
      <c r="AW29" s="523"/>
      <c r="AX29" s="520">
        <f t="shared" si="17"/>
        <v>0</v>
      </c>
      <c r="AY29" s="524">
        <f t="shared" si="6"/>
        <v>0</v>
      </c>
      <c r="AZ29" s="22"/>
      <c r="BA29" s="27"/>
      <c r="BB29" s="32"/>
      <c r="BC29" s="37"/>
      <c r="BD29" s="42"/>
      <c r="BE29" s="523"/>
      <c r="BF29" s="520">
        <f t="shared" si="18"/>
        <v>0</v>
      </c>
      <c r="BG29" s="524">
        <f t="shared" si="7"/>
        <v>0</v>
      </c>
      <c r="BH29" s="22"/>
      <c r="BI29" s="27"/>
      <c r="BJ29" s="32"/>
      <c r="BK29" s="37"/>
      <c r="BL29" s="42"/>
      <c r="BM29" s="523"/>
      <c r="BN29" s="520">
        <f t="shared" si="19"/>
        <v>0</v>
      </c>
      <c r="BO29" s="524">
        <f t="shared" si="8"/>
        <v>0</v>
      </c>
      <c r="BP29" s="22"/>
      <c r="BQ29" s="27"/>
      <c r="BR29" s="32"/>
      <c r="BS29" s="37"/>
      <c r="BT29" s="42"/>
      <c r="BU29" s="523"/>
      <c r="BV29" s="520">
        <f t="shared" si="20"/>
        <v>0</v>
      </c>
      <c r="BW29" s="524">
        <f t="shared" si="9"/>
        <v>0</v>
      </c>
      <c r="BX29" s="22"/>
      <c r="BY29" s="27"/>
      <c r="BZ29" s="32"/>
      <c r="CA29" s="37"/>
      <c r="CB29" s="42"/>
      <c r="CC29" s="523"/>
      <c r="CD29" s="520">
        <f t="shared" si="21"/>
        <v>0</v>
      </c>
      <c r="CE29" s="524">
        <f t="shared" si="10"/>
        <v>0</v>
      </c>
      <c r="CF29" s="22"/>
      <c r="CG29" s="27"/>
      <c r="CH29" s="32"/>
      <c r="CI29" s="37"/>
      <c r="CJ29" s="42"/>
      <c r="CK29" s="447"/>
      <c r="CL29" s="5"/>
    </row>
    <row r="30" spans="1:92" ht="18" customHeight="1">
      <c r="A30" s="525"/>
      <c r="B30" s="522">
        <f t="shared" si="11"/>
        <v>0</v>
      </c>
      <c r="C30" s="527">
        <f t="shared" si="0"/>
        <v>0</v>
      </c>
      <c r="D30" s="21"/>
      <c r="E30" s="26"/>
      <c r="F30" s="31"/>
      <c r="G30" s="36"/>
      <c r="H30" s="453"/>
      <c r="I30" s="525"/>
      <c r="J30" s="522">
        <f t="shared" si="12"/>
        <v>0</v>
      </c>
      <c r="K30" s="527">
        <f t="shared" si="1"/>
        <v>0</v>
      </c>
      <c r="L30" s="21"/>
      <c r="M30" s="26"/>
      <c r="N30" s="31"/>
      <c r="O30" s="36"/>
      <c r="P30" s="41"/>
      <c r="Q30" s="525"/>
      <c r="R30" s="522">
        <f t="shared" si="13"/>
        <v>0</v>
      </c>
      <c r="S30" s="527">
        <f t="shared" si="2"/>
        <v>0</v>
      </c>
      <c r="T30" s="21"/>
      <c r="U30" s="26"/>
      <c r="V30" s="31"/>
      <c r="W30" s="36"/>
      <c r="X30" s="41"/>
      <c r="Y30" s="525"/>
      <c r="Z30" s="522">
        <f t="shared" si="14"/>
        <v>0</v>
      </c>
      <c r="AA30" s="527">
        <f t="shared" si="3"/>
        <v>0</v>
      </c>
      <c r="AB30" s="21"/>
      <c r="AC30" s="26"/>
      <c r="AD30" s="31"/>
      <c r="AE30" s="36"/>
      <c r="AF30" s="41"/>
      <c r="AG30" s="525"/>
      <c r="AH30" s="522">
        <f t="shared" si="15"/>
        <v>0</v>
      </c>
      <c r="AI30" s="527">
        <f t="shared" si="4"/>
        <v>0</v>
      </c>
      <c r="AJ30" s="21"/>
      <c r="AK30" s="26"/>
      <c r="AL30" s="31"/>
      <c r="AM30" s="36"/>
      <c r="AN30" s="41"/>
      <c r="AO30" s="525"/>
      <c r="AP30" s="522">
        <f t="shared" si="16"/>
        <v>0</v>
      </c>
      <c r="AQ30" s="527">
        <f t="shared" si="5"/>
        <v>0</v>
      </c>
      <c r="AR30" s="21"/>
      <c r="AS30" s="26"/>
      <c r="AT30" s="31"/>
      <c r="AU30" s="36"/>
      <c r="AV30" s="41"/>
      <c r="AW30" s="525"/>
      <c r="AX30" s="522">
        <f t="shared" si="17"/>
        <v>0</v>
      </c>
      <c r="AY30" s="527">
        <f t="shared" si="6"/>
        <v>0</v>
      </c>
      <c r="AZ30" s="21"/>
      <c r="BA30" s="26"/>
      <c r="BB30" s="31"/>
      <c r="BC30" s="36"/>
      <c r="BD30" s="41"/>
      <c r="BE30" s="525"/>
      <c r="BF30" s="522">
        <f t="shared" si="18"/>
        <v>0</v>
      </c>
      <c r="BG30" s="527">
        <f t="shared" si="7"/>
        <v>0</v>
      </c>
      <c r="BH30" s="21"/>
      <c r="BI30" s="26"/>
      <c r="BJ30" s="31"/>
      <c r="BK30" s="36"/>
      <c r="BL30" s="41"/>
      <c r="BM30" s="525"/>
      <c r="BN30" s="522">
        <f t="shared" si="19"/>
        <v>0</v>
      </c>
      <c r="BO30" s="527">
        <f t="shared" si="8"/>
        <v>0</v>
      </c>
      <c r="BP30" s="21"/>
      <c r="BQ30" s="26"/>
      <c r="BR30" s="31"/>
      <c r="BS30" s="36"/>
      <c r="BT30" s="41"/>
      <c r="BU30" s="525"/>
      <c r="BV30" s="522">
        <f t="shared" si="20"/>
        <v>0</v>
      </c>
      <c r="BW30" s="527">
        <f t="shared" si="9"/>
        <v>0</v>
      </c>
      <c r="BX30" s="21"/>
      <c r="BY30" s="26"/>
      <c r="BZ30" s="31"/>
      <c r="CA30" s="36"/>
      <c r="CB30" s="41"/>
      <c r="CC30" s="525"/>
      <c r="CD30" s="522">
        <f t="shared" si="21"/>
        <v>0</v>
      </c>
      <c r="CE30" s="527">
        <f t="shared" si="10"/>
        <v>0</v>
      </c>
      <c r="CF30" s="21"/>
      <c r="CG30" s="26"/>
      <c r="CH30" s="31"/>
      <c r="CI30" s="36"/>
      <c r="CJ30" s="41"/>
      <c r="CK30" s="109"/>
      <c r="CL30" s="4"/>
    </row>
    <row r="31" spans="1:92" ht="18" customHeight="1">
      <c r="A31" s="523"/>
      <c r="B31" s="520">
        <f t="shared" si="11"/>
        <v>0</v>
      </c>
      <c r="C31" s="524">
        <f t="shared" si="0"/>
        <v>0</v>
      </c>
      <c r="D31" s="22"/>
      <c r="E31" s="27"/>
      <c r="F31" s="32"/>
      <c r="G31" s="37"/>
      <c r="H31" s="452"/>
      <c r="I31" s="523"/>
      <c r="J31" s="520">
        <f t="shared" si="12"/>
        <v>0</v>
      </c>
      <c r="K31" s="524">
        <f t="shared" si="1"/>
        <v>0</v>
      </c>
      <c r="L31" s="22"/>
      <c r="M31" s="27"/>
      <c r="N31" s="32"/>
      <c r="O31" s="37"/>
      <c r="P31" s="42"/>
      <c r="Q31" s="523"/>
      <c r="R31" s="520">
        <f t="shared" si="13"/>
        <v>0</v>
      </c>
      <c r="S31" s="524">
        <f t="shared" si="2"/>
        <v>0</v>
      </c>
      <c r="T31" s="22"/>
      <c r="U31" s="27"/>
      <c r="V31" s="32"/>
      <c r="W31" s="37"/>
      <c r="X31" s="42"/>
      <c r="Y31" s="523"/>
      <c r="Z31" s="520">
        <f t="shared" si="14"/>
        <v>0</v>
      </c>
      <c r="AA31" s="524">
        <f t="shared" si="3"/>
        <v>0</v>
      </c>
      <c r="AB31" s="22"/>
      <c r="AC31" s="27"/>
      <c r="AD31" s="32"/>
      <c r="AE31" s="37"/>
      <c r="AF31" s="42"/>
      <c r="AG31" s="523"/>
      <c r="AH31" s="520">
        <f t="shared" si="15"/>
        <v>0</v>
      </c>
      <c r="AI31" s="524">
        <f t="shared" si="4"/>
        <v>0</v>
      </c>
      <c r="AJ31" s="22"/>
      <c r="AK31" s="27"/>
      <c r="AL31" s="32"/>
      <c r="AM31" s="37"/>
      <c r="AN31" s="42"/>
      <c r="AO31" s="523"/>
      <c r="AP31" s="520">
        <f t="shared" si="16"/>
        <v>0</v>
      </c>
      <c r="AQ31" s="524">
        <f t="shared" si="5"/>
        <v>0</v>
      </c>
      <c r="AR31" s="22"/>
      <c r="AS31" s="27"/>
      <c r="AT31" s="32"/>
      <c r="AU31" s="37"/>
      <c r="AV31" s="42"/>
      <c r="AW31" s="523"/>
      <c r="AX31" s="520">
        <f t="shared" si="17"/>
        <v>0</v>
      </c>
      <c r="AY31" s="524">
        <f t="shared" si="6"/>
        <v>0</v>
      </c>
      <c r="AZ31" s="22"/>
      <c r="BA31" s="27"/>
      <c r="BB31" s="32"/>
      <c r="BC31" s="37"/>
      <c r="BD31" s="42"/>
      <c r="BE31" s="523"/>
      <c r="BF31" s="520">
        <f t="shared" si="18"/>
        <v>0</v>
      </c>
      <c r="BG31" s="524">
        <f t="shared" si="7"/>
        <v>0</v>
      </c>
      <c r="BH31" s="22"/>
      <c r="BI31" s="27"/>
      <c r="BJ31" s="32"/>
      <c r="BK31" s="37"/>
      <c r="BL31" s="42"/>
      <c r="BM31" s="523"/>
      <c r="BN31" s="520">
        <f t="shared" si="19"/>
        <v>0</v>
      </c>
      <c r="BO31" s="524">
        <f t="shared" si="8"/>
        <v>0</v>
      </c>
      <c r="BP31" s="22"/>
      <c r="BQ31" s="27"/>
      <c r="BR31" s="32"/>
      <c r="BS31" s="37"/>
      <c r="BT31" s="42"/>
      <c r="BU31" s="523"/>
      <c r="BV31" s="520">
        <f t="shared" si="20"/>
        <v>0</v>
      </c>
      <c r="BW31" s="524">
        <f t="shared" si="9"/>
        <v>0</v>
      </c>
      <c r="BX31" s="22"/>
      <c r="BY31" s="27"/>
      <c r="BZ31" s="32"/>
      <c r="CA31" s="37"/>
      <c r="CB31" s="42"/>
      <c r="CC31" s="523"/>
      <c r="CD31" s="520">
        <f t="shared" si="21"/>
        <v>0</v>
      </c>
      <c r="CE31" s="524">
        <f t="shared" si="10"/>
        <v>0</v>
      </c>
      <c r="CF31" s="22"/>
      <c r="CG31" s="27"/>
      <c r="CH31" s="32"/>
      <c r="CI31" s="37"/>
      <c r="CJ31" s="42"/>
      <c r="CK31" s="447"/>
      <c r="CL31" s="5"/>
    </row>
    <row r="32" spans="1:92" ht="18" customHeight="1" thickBot="1">
      <c r="A32" s="525"/>
      <c r="B32" s="522">
        <f t="shared" si="11"/>
        <v>0</v>
      </c>
      <c r="C32" s="527">
        <f t="shared" si="0"/>
        <v>0</v>
      </c>
      <c r="D32" s="21"/>
      <c r="E32" s="26"/>
      <c r="F32" s="31"/>
      <c r="G32" s="36"/>
      <c r="H32" s="453"/>
      <c r="I32" s="525"/>
      <c r="J32" s="522">
        <f t="shared" si="12"/>
        <v>0</v>
      </c>
      <c r="K32" s="527">
        <f t="shared" si="1"/>
        <v>0</v>
      </c>
      <c r="L32" s="21"/>
      <c r="M32" s="26"/>
      <c r="N32" s="31"/>
      <c r="O32" s="36"/>
      <c r="P32" s="41"/>
      <c r="Q32" s="525"/>
      <c r="R32" s="522">
        <f t="shared" si="13"/>
        <v>0</v>
      </c>
      <c r="S32" s="527">
        <f t="shared" si="2"/>
        <v>0</v>
      </c>
      <c r="T32" s="21"/>
      <c r="U32" s="26"/>
      <c r="V32" s="31"/>
      <c r="W32" s="36"/>
      <c r="X32" s="41"/>
      <c r="Y32" s="525"/>
      <c r="Z32" s="522">
        <f t="shared" si="14"/>
        <v>0</v>
      </c>
      <c r="AA32" s="527">
        <f t="shared" si="3"/>
        <v>0</v>
      </c>
      <c r="AB32" s="21"/>
      <c r="AC32" s="26"/>
      <c r="AD32" s="31"/>
      <c r="AE32" s="36"/>
      <c r="AF32" s="41"/>
      <c r="AG32" s="525"/>
      <c r="AH32" s="522">
        <f t="shared" si="15"/>
        <v>0</v>
      </c>
      <c r="AI32" s="527">
        <f t="shared" si="4"/>
        <v>0</v>
      </c>
      <c r="AJ32" s="21"/>
      <c r="AK32" s="26"/>
      <c r="AL32" s="31"/>
      <c r="AM32" s="36"/>
      <c r="AN32" s="41"/>
      <c r="AO32" s="525"/>
      <c r="AP32" s="522">
        <f t="shared" si="16"/>
        <v>0</v>
      </c>
      <c r="AQ32" s="527">
        <f t="shared" si="5"/>
        <v>0</v>
      </c>
      <c r="AR32" s="21"/>
      <c r="AS32" s="26"/>
      <c r="AT32" s="31"/>
      <c r="AU32" s="36"/>
      <c r="AV32" s="41"/>
      <c r="AW32" s="525"/>
      <c r="AX32" s="522">
        <f t="shared" si="17"/>
        <v>0</v>
      </c>
      <c r="AY32" s="527">
        <f t="shared" si="6"/>
        <v>0</v>
      </c>
      <c r="AZ32" s="21"/>
      <c r="BA32" s="26"/>
      <c r="BB32" s="31"/>
      <c r="BC32" s="36"/>
      <c r="BD32" s="41"/>
      <c r="BE32" s="525"/>
      <c r="BF32" s="522">
        <f t="shared" si="18"/>
        <v>0</v>
      </c>
      <c r="BG32" s="527">
        <f t="shared" si="7"/>
        <v>0</v>
      </c>
      <c r="BH32" s="21"/>
      <c r="BI32" s="26"/>
      <c r="BJ32" s="31"/>
      <c r="BK32" s="36"/>
      <c r="BL32" s="41"/>
      <c r="BM32" s="525"/>
      <c r="BN32" s="522">
        <f t="shared" si="19"/>
        <v>0</v>
      </c>
      <c r="BO32" s="527">
        <f t="shared" si="8"/>
        <v>0</v>
      </c>
      <c r="BP32" s="21"/>
      <c r="BQ32" s="26"/>
      <c r="BR32" s="31"/>
      <c r="BS32" s="36"/>
      <c r="BT32" s="41"/>
      <c r="BU32" s="525"/>
      <c r="BV32" s="522">
        <f t="shared" si="20"/>
        <v>0</v>
      </c>
      <c r="BW32" s="527">
        <f t="shared" si="9"/>
        <v>0</v>
      </c>
      <c r="BX32" s="21"/>
      <c r="BY32" s="26"/>
      <c r="BZ32" s="31"/>
      <c r="CA32" s="36"/>
      <c r="CB32" s="41"/>
      <c r="CC32" s="525"/>
      <c r="CD32" s="522">
        <f t="shared" si="21"/>
        <v>0</v>
      </c>
      <c r="CE32" s="527">
        <f t="shared" si="10"/>
        <v>0</v>
      </c>
      <c r="CF32" s="21"/>
      <c r="CG32" s="26"/>
      <c r="CH32" s="31"/>
      <c r="CI32" s="36"/>
      <c r="CJ32" s="41"/>
      <c r="CK32" s="109"/>
      <c r="CL32" s="528"/>
      <c r="CM32" s="465"/>
      <c r="CN32" s="465"/>
    </row>
    <row r="33" spans="1:92" ht="32" customHeight="1">
      <c r="A33" s="857" t="s">
        <v>0</v>
      </c>
      <c r="B33" s="831"/>
      <c r="C33" s="858"/>
      <c r="D33" s="832" t="str">
        <f>D3</f>
        <v>Normal uge 1</v>
      </c>
      <c r="E33" s="833"/>
      <c r="F33" s="833"/>
      <c r="G33" s="833"/>
      <c r="H33" s="834"/>
      <c r="I33" s="829" t="s">
        <v>0</v>
      </c>
      <c r="J33" s="830"/>
      <c r="K33" s="831"/>
      <c r="L33" s="832" t="str">
        <f>L3</f>
        <v>Normal uge 2</v>
      </c>
      <c r="M33" s="833"/>
      <c r="N33" s="833"/>
      <c r="O33" s="833"/>
      <c r="P33" s="834"/>
      <c r="Q33" s="829" t="s">
        <v>0</v>
      </c>
      <c r="R33" s="830"/>
      <c r="S33" s="831"/>
      <c r="T33" s="832" t="str">
        <f>T3</f>
        <v>Særlig uge 1</v>
      </c>
      <c r="U33" s="833"/>
      <c r="V33" s="833"/>
      <c r="W33" s="833"/>
      <c r="X33" s="834"/>
      <c r="Y33" s="854" t="s">
        <v>0</v>
      </c>
      <c r="Z33" s="855"/>
      <c r="AA33" s="856"/>
      <c r="AB33" s="832" t="str">
        <f>AB3</f>
        <v>Særlig uge 2</v>
      </c>
      <c r="AC33" s="833"/>
      <c r="AD33" s="833"/>
      <c r="AE33" s="833"/>
      <c r="AF33" s="834"/>
      <c r="AG33" s="829" t="s">
        <v>0</v>
      </c>
      <c r="AH33" s="830"/>
      <c r="AI33" s="831"/>
      <c r="AJ33" s="832" t="str">
        <f>AJ3</f>
        <v>Særlig uge 3</v>
      </c>
      <c r="AK33" s="833"/>
      <c r="AL33" s="833"/>
      <c r="AM33" s="833"/>
      <c r="AN33" s="834"/>
      <c r="AO33" s="829" t="s">
        <v>0</v>
      </c>
      <c r="AP33" s="830"/>
      <c r="AQ33" s="831"/>
      <c r="AR33" s="832" t="str">
        <f>AR3</f>
        <v>Særlig uge 4</v>
      </c>
      <c r="AS33" s="833"/>
      <c r="AT33" s="833"/>
      <c r="AU33" s="833"/>
      <c r="AV33" s="834"/>
      <c r="AW33" s="829" t="s">
        <v>0</v>
      </c>
      <c r="AX33" s="830"/>
      <c r="AY33" s="831"/>
      <c r="AZ33" s="832" t="str">
        <f>AZ3</f>
        <v>Rul 1</v>
      </c>
      <c r="BA33" s="833"/>
      <c r="BB33" s="833"/>
      <c r="BC33" s="833"/>
      <c r="BD33" s="834"/>
      <c r="BE33" s="829" t="s">
        <v>0</v>
      </c>
      <c r="BF33" s="830"/>
      <c r="BG33" s="831"/>
      <c r="BH33" s="832" t="str">
        <f>BH3</f>
        <v>Rul 2</v>
      </c>
      <c r="BI33" s="833"/>
      <c r="BJ33" s="833"/>
      <c r="BK33" s="833"/>
      <c r="BL33" s="834"/>
      <c r="BM33" s="829" t="s">
        <v>0</v>
      </c>
      <c r="BN33" s="830"/>
      <c r="BO33" s="831"/>
      <c r="BP33" s="832" t="str">
        <f>BP3</f>
        <v>Rul 3</v>
      </c>
      <c r="BQ33" s="833"/>
      <c r="BR33" s="833"/>
      <c r="BS33" s="833"/>
      <c r="BT33" s="834"/>
      <c r="BU33" s="829" t="s">
        <v>0</v>
      </c>
      <c r="BV33" s="830"/>
      <c r="BW33" s="831"/>
      <c r="BX33" s="832" t="str">
        <f>BX3</f>
        <v>Rul 4</v>
      </c>
      <c r="BY33" s="833"/>
      <c r="BZ33" s="833"/>
      <c r="CA33" s="833"/>
      <c r="CB33" s="834"/>
      <c r="CC33" s="854" t="str">
        <f>AO33</f>
        <v>Kerneopgaver minutter</v>
      </c>
      <c r="CD33" s="855"/>
      <c r="CE33" s="856"/>
      <c r="CF33" s="851" t="str">
        <f>CF3</f>
        <v>Koloni</v>
      </c>
      <c r="CG33" s="852"/>
      <c r="CH33" s="852"/>
      <c r="CI33" s="852"/>
      <c r="CJ33" s="852"/>
      <c r="CK33" s="852"/>
      <c r="CL33" s="853"/>
      <c r="CM33" s="864" t="s">
        <v>138</v>
      </c>
      <c r="CN33" s="865"/>
    </row>
    <row r="34" spans="1:92" s="455" customFormat="1">
      <c r="A34" s="826">
        <f>'Stamdata Årsnorm'!D4</f>
        <v>0</v>
      </c>
      <c r="B34" s="827"/>
      <c r="C34" s="828"/>
      <c r="D34" s="526">
        <f>SUMIF(D$7:D$32,"k",$A$7:$A$32)*D5</f>
        <v>0</v>
      </c>
      <c r="E34" s="466">
        <f>SUMIF(E$7:E$32,"k",$A$7:$A$32)*E5</f>
        <v>0</v>
      </c>
      <c r="F34" s="469">
        <f>SUMIF(F$7:F$32,"k",$A$7:$A$32)*F5</f>
        <v>0</v>
      </c>
      <c r="G34" s="471">
        <f>SUMIF(G$7:G$32,"k",$A$7:$A32)*G5</f>
        <v>0</v>
      </c>
      <c r="H34" s="476">
        <f>SUMIF(H$7:H$32,"k",$A$7:$A$32)*H5</f>
        <v>0</v>
      </c>
      <c r="I34" s="826">
        <f>A34</f>
        <v>0</v>
      </c>
      <c r="J34" s="827"/>
      <c r="K34" s="828"/>
      <c r="L34" s="454">
        <f>SUMIF(L$7:L$32,"k",$I$7:$I$32)*L5</f>
        <v>0</v>
      </c>
      <c r="M34" s="466">
        <f t="shared" ref="M34:P34" si="22">SUMIF(M$7:M$32,"k",$I$7:$I$32)*M5</f>
        <v>0</v>
      </c>
      <c r="N34" s="469">
        <f t="shared" si="22"/>
        <v>0</v>
      </c>
      <c r="O34" s="471">
        <f t="shared" si="22"/>
        <v>0</v>
      </c>
      <c r="P34" s="474">
        <f t="shared" si="22"/>
        <v>0</v>
      </c>
      <c r="Q34" s="826">
        <f>I34</f>
        <v>0</v>
      </c>
      <c r="R34" s="827"/>
      <c r="S34" s="828"/>
      <c r="T34" s="454">
        <f>SUMIF(T$7:T$32,"k",$Q$7:$Q$32)*T5</f>
        <v>0</v>
      </c>
      <c r="U34" s="466">
        <f t="shared" ref="U34:X34" si="23">SUMIF(U$7:U$32,"k",$Q$7:$Q$32)*U5</f>
        <v>0</v>
      </c>
      <c r="V34" s="469">
        <f t="shared" si="23"/>
        <v>0</v>
      </c>
      <c r="W34" s="471">
        <f>SUMIF(W$7:W$32,"k",$Q$7:$Q$32)*W5</f>
        <v>0</v>
      </c>
      <c r="X34" s="474">
        <f t="shared" si="23"/>
        <v>0</v>
      </c>
      <c r="Y34" s="826">
        <f>Q34</f>
        <v>0</v>
      </c>
      <c r="Z34" s="827"/>
      <c r="AA34" s="828"/>
      <c r="AB34" s="454">
        <f>SUMIF(AB$7:AB$32,"k",$Y$7:$Y$32)*AB5</f>
        <v>0</v>
      </c>
      <c r="AC34" s="466">
        <f t="shared" ref="AC34:AF34" si="24">SUMIF(AC$7:AC$32,"k",$Y$7:$Y$32)*AC5</f>
        <v>0</v>
      </c>
      <c r="AD34" s="469">
        <f t="shared" si="24"/>
        <v>0</v>
      </c>
      <c r="AE34" s="471">
        <f>SUMIF(AE$7:AE$32,"k",$Y$7:$Y$32)*AE5</f>
        <v>0</v>
      </c>
      <c r="AF34" s="474">
        <f t="shared" si="24"/>
        <v>0</v>
      </c>
      <c r="AG34" s="826">
        <f>Y34</f>
        <v>0</v>
      </c>
      <c r="AH34" s="827"/>
      <c r="AI34" s="828"/>
      <c r="AJ34" s="454">
        <f>SUMIF(AJ$7:AJ$32,"k",$AG$7:$AG$32)*AJ5</f>
        <v>0</v>
      </c>
      <c r="AK34" s="466">
        <f t="shared" ref="AK34:AN34" si="25">SUMIF(AK$7:AK$32,"k",$AG$7:$AG$32)*AK5</f>
        <v>0</v>
      </c>
      <c r="AL34" s="469">
        <f t="shared" si="25"/>
        <v>0</v>
      </c>
      <c r="AM34" s="471">
        <f>SUMIF(AM$7:AM$32,"k",$AG$7:$AG$32)*AM5</f>
        <v>0</v>
      </c>
      <c r="AN34" s="474">
        <f t="shared" si="25"/>
        <v>0</v>
      </c>
      <c r="AO34" s="826">
        <f>AG34</f>
        <v>0</v>
      </c>
      <c r="AP34" s="827"/>
      <c r="AQ34" s="828"/>
      <c r="AR34" s="454">
        <f>SUMIF(AR$7:AR$32,"k",$AO$7:$AO$32)*AR5</f>
        <v>0</v>
      </c>
      <c r="AS34" s="466">
        <f t="shared" ref="AS34:AV34" si="26">SUMIF(AS$7:AS$32,"k",$AO$7:$AO$32)*AS5</f>
        <v>0</v>
      </c>
      <c r="AT34" s="469">
        <f t="shared" si="26"/>
        <v>0</v>
      </c>
      <c r="AU34" s="471">
        <f>SUMIF(AU$7:AU$32,"k",$AO$7:$AO$32)*AU5</f>
        <v>0</v>
      </c>
      <c r="AV34" s="474">
        <f t="shared" si="26"/>
        <v>0</v>
      </c>
      <c r="AW34" s="826">
        <f>AO34</f>
        <v>0</v>
      </c>
      <c r="AX34" s="827"/>
      <c r="AY34" s="828"/>
      <c r="AZ34" s="454">
        <f>SUMIF(AZ$7:AZ$32,"k",$AW$7:$AW$32)*AZ5</f>
        <v>0</v>
      </c>
      <c r="BA34" s="466">
        <f>SUMIF(BA$7:BA$32,"k",$AW$7:$AW$32)*BA5</f>
        <v>0</v>
      </c>
      <c r="BB34" s="469">
        <f>SUMIF(BB$7:BB$32,"k",$AW$7:$AW$32)*BB5</f>
        <v>0</v>
      </c>
      <c r="BC34" s="471">
        <f>SUMIF(BC$7:BC$32,"k",$AW$7:$AW$32)*BC5</f>
        <v>0</v>
      </c>
      <c r="BD34" s="474">
        <f>SUMIF(BD$7:BD$32,"k",$AW$7:$AW$32)*BD5</f>
        <v>0</v>
      </c>
      <c r="BE34" s="826">
        <f>AW34</f>
        <v>0</v>
      </c>
      <c r="BF34" s="827"/>
      <c r="BG34" s="828"/>
      <c r="BH34" s="454">
        <f>SUMIF(BH$7:BH$32,"k",$BE$7:$BE$32)*BH5</f>
        <v>0</v>
      </c>
      <c r="BI34" s="466">
        <f>SUMIF(BI$7:BI$32,"k",$BE$7:$BE$32)*BI5</f>
        <v>0</v>
      </c>
      <c r="BJ34" s="469">
        <f>SUMIF(BJ$7:BJ$32,"k",$BE$7:$BE$32)*BJ5</f>
        <v>0</v>
      </c>
      <c r="BK34" s="471">
        <f>SUMIF(BK$7:BK$32,"k",$BE$7:$BE$32)*BK5</f>
        <v>0</v>
      </c>
      <c r="BL34" s="474">
        <f>SUMIF(BL$7:BL$32,"k",$BE$7:$BE$32)*BL5</f>
        <v>0</v>
      </c>
      <c r="BM34" s="826">
        <f>BE34</f>
        <v>0</v>
      </c>
      <c r="BN34" s="827"/>
      <c r="BO34" s="828"/>
      <c r="BP34" s="454">
        <f>SUMIF(BP$7:BP$32,"k",$BM$7:$BM$32)*BP5</f>
        <v>0</v>
      </c>
      <c r="BQ34" s="466">
        <f>SUMIF(BQ$7:BQ$32,"k",$BM$7:$BM$32)*BQ5</f>
        <v>0</v>
      </c>
      <c r="BR34" s="469">
        <f>SUMIF(BR$7:BR$32,"k",$BM$7:$BM$32)*BR5</f>
        <v>0</v>
      </c>
      <c r="BS34" s="471">
        <f>SUMIF(BS$7:BS$32,"k",$BM$7:$BM$32)*BS5</f>
        <v>0</v>
      </c>
      <c r="BT34" s="474">
        <f>SUMIF(BT$7:BT$32,"k",$BM$7:$BM$32)*BT5</f>
        <v>0</v>
      </c>
      <c r="BU34" s="826">
        <f>BM34</f>
        <v>0</v>
      </c>
      <c r="BV34" s="827"/>
      <c r="BW34" s="828"/>
      <c r="BX34" s="454">
        <f>SUMIF(BX$7:BX$32,"k",$BU$7:$BU$32)*BX5</f>
        <v>0</v>
      </c>
      <c r="BY34" s="466">
        <f>SUMIF(BY$7:BY$32,"k",$BU$7:$BU$32)*BY5</f>
        <v>0</v>
      </c>
      <c r="BZ34" s="469">
        <f>SUMIF(BZ$7:BZ$32,"k",$BU$7:$BU$32)*BZ5</f>
        <v>0</v>
      </c>
      <c r="CA34" s="471">
        <f>SUMIF(CA$7:CA$32,"k",$BU$7:$BU$32)*CA5</f>
        <v>0</v>
      </c>
      <c r="CB34" s="474">
        <f>SUMIF(CB$7:CB$32,"k",$BU$7:$BU$32)*CB5</f>
        <v>0</v>
      </c>
      <c r="CC34" s="457">
        <f>AO34</f>
        <v>0</v>
      </c>
      <c r="CD34" s="459"/>
      <c r="CE34" s="463"/>
      <c r="CF34" s="461">
        <f>SUMIF(CF$7:CF$32,"k",$CC$7:$CC$32)*CF5</f>
        <v>0</v>
      </c>
      <c r="CG34" s="529">
        <f t="shared" ref="CG34:CL34" si="27">SUMIF(CG$7:CG$32,"k",$CC$7:$CC$32)*CG5</f>
        <v>0</v>
      </c>
      <c r="CH34" s="531">
        <f t="shared" si="27"/>
        <v>0</v>
      </c>
      <c r="CI34" s="533">
        <f>SUMIF(CI$7:CI$32,"k",$CC$7:$CC$32)*CI5</f>
        <v>0</v>
      </c>
      <c r="CJ34" s="535">
        <f t="shared" si="27"/>
        <v>0</v>
      </c>
      <c r="CK34" s="538">
        <f t="shared" si="27"/>
        <v>0</v>
      </c>
      <c r="CL34" s="539">
        <f t="shared" si="27"/>
        <v>0</v>
      </c>
      <c r="CM34" s="868">
        <f>SUM(A34:CL34)/60</f>
        <v>0</v>
      </c>
      <c r="CN34" s="869"/>
    </row>
    <row r="35" spans="1:92" ht="29" customHeight="1">
      <c r="A35" s="862" t="s">
        <v>148</v>
      </c>
      <c r="B35" s="846"/>
      <c r="C35" s="863"/>
      <c r="D35" s="838" t="str">
        <f>D33</f>
        <v>Normal uge 1</v>
      </c>
      <c r="E35" s="839"/>
      <c r="F35" s="839"/>
      <c r="G35" s="839"/>
      <c r="H35" s="840"/>
      <c r="I35" s="844" t="str">
        <f>A35</f>
        <v>Andre faste opgaver</v>
      </c>
      <c r="J35" s="845"/>
      <c r="K35" s="846"/>
      <c r="L35" s="838" t="str">
        <f>L33</f>
        <v>Normal uge 2</v>
      </c>
      <c r="M35" s="839"/>
      <c r="N35" s="839"/>
      <c r="O35" s="839"/>
      <c r="P35" s="840"/>
      <c r="Q35" s="844" t="str">
        <f>I35</f>
        <v>Andre faste opgaver</v>
      </c>
      <c r="R35" s="845"/>
      <c r="S35" s="846"/>
      <c r="T35" s="838" t="str">
        <f>T33</f>
        <v>Særlig uge 1</v>
      </c>
      <c r="U35" s="839"/>
      <c r="V35" s="839"/>
      <c r="W35" s="839"/>
      <c r="X35" s="840"/>
      <c r="Y35" s="844" t="str">
        <f>Q35</f>
        <v>Andre faste opgaver</v>
      </c>
      <c r="Z35" s="845"/>
      <c r="AA35" s="846"/>
      <c r="AB35" s="838" t="str">
        <f>AB33</f>
        <v>Særlig uge 2</v>
      </c>
      <c r="AC35" s="839"/>
      <c r="AD35" s="839"/>
      <c r="AE35" s="839"/>
      <c r="AF35" s="840"/>
      <c r="AG35" s="844" t="str">
        <f>Y35</f>
        <v>Andre faste opgaver</v>
      </c>
      <c r="AH35" s="845"/>
      <c r="AI35" s="846"/>
      <c r="AJ35" s="838" t="str">
        <f>AJ33</f>
        <v>Særlig uge 3</v>
      </c>
      <c r="AK35" s="839"/>
      <c r="AL35" s="839"/>
      <c r="AM35" s="839"/>
      <c r="AN35" s="840"/>
      <c r="AO35" s="844" t="str">
        <f>AG35</f>
        <v>Andre faste opgaver</v>
      </c>
      <c r="AP35" s="845"/>
      <c r="AQ35" s="846"/>
      <c r="AR35" s="838" t="str">
        <f>AR33</f>
        <v>Særlig uge 4</v>
      </c>
      <c r="AS35" s="839"/>
      <c r="AT35" s="839"/>
      <c r="AU35" s="839"/>
      <c r="AV35" s="840"/>
      <c r="AW35" s="844" t="str">
        <f>AO35</f>
        <v>Andre faste opgaver</v>
      </c>
      <c r="AX35" s="845"/>
      <c r="AY35" s="846"/>
      <c r="AZ35" s="838" t="str">
        <f>AZ33</f>
        <v>Rul 1</v>
      </c>
      <c r="BA35" s="839"/>
      <c r="BB35" s="839"/>
      <c r="BC35" s="839"/>
      <c r="BD35" s="840"/>
      <c r="BE35" s="844" t="str">
        <f>AW35</f>
        <v>Andre faste opgaver</v>
      </c>
      <c r="BF35" s="845"/>
      <c r="BG35" s="846"/>
      <c r="BH35" s="838" t="str">
        <f>BH33</f>
        <v>Rul 2</v>
      </c>
      <c r="BI35" s="839"/>
      <c r="BJ35" s="839"/>
      <c r="BK35" s="839"/>
      <c r="BL35" s="840"/>
      <c r="BM35" s="844" t="str">
        <f>BE35</f>
        <v>Andre faste opgaver</v>
      </c>
      <c r="BN35" s="845"/>
      <c r="BO35" s="846"/>
      <c r="BP35" s="838" t="str">
        <f>BP33</f>
        <v>Rul 3</v>
      </c>
      <c r="BQ35" s="839"/>
      <c r="BR35" s="839"/>
      <c r="BS35" s="839"/>
      <c r="BT35" s="840"/>
      <c r="BU35" s="844" t="str">
        <f>BM35</f>
        <v>Andre faste opgaver</v>
      </c>
      <c r="BV35" s="845"/>
      <c r="BW35" s="846"/>
      <c r="BX35" s="838" t="str">
        <f>BX33</f>
        <v>Rul 4</v>
      </c>
      <c r="BY35" s="839"/>
      <c r="BZ35" s="839"/>
      <c r="CA35" s="839"/>
      <c r="CB35" s="840"/>
      <c r="CC35" s="844" t="str">
        <f>AO35</f>
        <v>Andre faste opgaver</v>
      </c>
      <c r="CD35" s="845"/>
      <c r="CE35" s="846"/>
      <c r="CF35" s="847" t="str">
        <f>CF3</f>
        <v>Koloni</v>
      </c>
      <c r="CG35" s="848"/>
      <c r="CH35" s="848"/>
      <c r="CI35" s="848"/>
      <c r="CJ35" s="848"/>
      <c r="CK35" s="848"/>
      <c r="CL35" s="849"/>
      <c r="CM35" s="866" t="s">
        <v>147</v>
      </c>
      <c r="CN35" s="867"/>
    </row>
    <row r="36" spans="1:92" s="455" customFormat="1" ht="18" customHeight="1" thickBot="1">
      <c r="A36" s="835">
        <f>+A34</f>
        <v>0</v>
      </c>
      <c r="B36" s="836"/>
      <c r="C36" s="837"/>
      <c r="D36" s="456">
        <f>SUMIF(D$7:D$32,"a",$A$7:$A$32)*D5</f>
        <v>0</v>
      </c>
      <c r="E36" s="467">
        <f>SUMIF(E$7:E$32,"a",$A$7:$A$32)*E5</f>
        <v>0</v>
      </c>
      <c r="F36" s="470">
        <f t="shared" ref="F36:H36" si="28">SUMIF(F$7:F$32,"a",$A$7:$A$32)*F5</f>
        <v>0</v>
      </c>
      <c r="G36" s="472">
        <f t="shared" si="28"/>
        <v>0</v>
      </c>
      <c r="H36" s="477">
        <f t="shared" si="28"/>
        <v>0</v>
      </c>
      <c r="I36" s="835">
        <f>+I34</f>
        <v>0</v>
      </c>
      <c r="J36" s="836"/>
      <c r="K36" s="837"/>
      <c r="L36" s="456">
        <f>SUMIF(L$7:L$32,"a",$I$7:$I$32)*L5</f>
        <v>0</v>
      </c>
      <c r="M36" s="467">
        <f t="shared" ref="M36:P36" si="29">SUMIF(M$7:M$32,"a",$I$7:$I$32)*M5</f>
        <v>0</v>
      </c>
      <c r="N36" s="470">
        <f t="shared" si="29"/>
        <v>0</v>
      </c>
      <c r="O36" s="472">
        <f t="shared" si="29"/>
        <v>0</v>
      </c>
      <c r="P36" s="475">
        <f t="shared" si="29"/>
        <v>0</v>
      </c>
      <c r="Q36" s="835">
        <f>+Q34</f>
        <v>0</v>
      </c>
      <c r="R36" s="836"/>
      <c r="S36" s="837"/>
      <c r="T36" s="456">
        <f>SUMIF(T$7:T$32,"a",$Q$7:$Q$32)*T5</f>
        <v>0</v>
      </c>
      <c r="U36" s="467">
        <f t="shared" ref="U36:X36" si="30">SUMIF(U$7:U$32,"a",$Q$7:$Q$32)*U5</f>
        <v>0</v>
      </c>
      <c r="V36" s="470">
        <f t="shared" si="30"/>
        <v>0</v>
      </c>
      <c r="W36" s="472">
        <f t="shared" si="30"/>
        <v>0</v>
      </c>
      <c r="X36" s="475">
        <f t="shared" si="30"/>
        <v>0</v>
      </c>
      <c r="Y36" s="835">
        <f>+Y34</f>
        <v>0</v>
      </c>
      <c r="Z36" s="836"/>
      <c r="AA36" s="837"/>
      <c r="AB36" s="456">
        <f>SUMIF(AB$7:AB$32,"a",$Y$7:$Y$32)*AB5</f>
        <v>0</v>
      </c>
      <c r="AC36" s="467">
        <f t="shared" ref="AC36:AF36" si="31">SUMIF(AC$7:AC$32,"a",$Y$7:$Y$32)*AC5</f>
        <v>0</v>
      </c>
      <c r="AD36" s="470">
        <f t="shared" si="31"/>
        <v>0</v>
      </c>
      <c r="AE36" s="472">
        <f t="shared" si="31"/>
        <v>0</v>
      </c>
      <c r="AF36" s="475">
        <f t="shared" si="31"/>
        <v>0</v>
      </c>
      <c r="AG36" s="835">
        <f>+AG34</f>
        <v>0</v>
      </c>
      <c r="AH36" s="836"/>
      <c r="AI36" s="837"/>
      <c r="AJ36" s="456">
        <f>SUMIF(AJ$7:AJ$32,"a",$AG$7:$AG$32)*AJ5</f>
        <v>0</v>
      </c>
      <c r="AK36" s="467">
        <f t="shared" ref="AK36:AN36" si="32">SUMIF(AK$7:AK$32,"a",$AG$7:$AG$32)*AK5</f>
        <v>0</v>
      </c>
      <c r="AL36" s="470">
        <f t="shared" si="32"/>
        <v>0</v>
      </c>
      <c r="AM36" s="472">
        <f t="shared" si="32"/>
        <v>0</v>
      </c>
      <c r="AN36" s="475">
        <f t="shared" si="32"/>
        <v>0</v>
      </c>
      <c r="AO36" s="835">
        <f>+AO34</f>
        <v>0</v>
      </c>
      <c r="AP36" s="836"/>
      <c r="AQ36" s="837"/>
      <c r="AR36" s="456">
        <f>SUMIF(AR$7:AR$32,"a",$AO$7:$AO$32)*AR5</f>
        <v>0</v>
      </c>
      <c r="AS36" s="467">
        <f t="shared" ref="AS36:AV36" si="33">SUMIF(AS$7:AS$32,"a",$AO$7:$AO$32)*AS5</f>
        <v>0</v>
      </c>
      <c r="AT36" s="470">
        <f t="shared" si="33"/>
        <v>0</v>
      </c>
      <c r="AU36" s="472">
        <f t="shared" si="33"/>
        <v>0</v>
      </c>
      <c r="AV36" s="475">
        <f t="shared" si="33"/>
        <v>0</v>
      </c>
      <c r="AW36" s="835">
        <f>+AW34</f>
        <v>0</v>
      </c>
      <c r="AX36" s="836"/>
      <c r="AY36" s="837"/>
      <c r="AZ36" s="456">
        <f>SUMIF(AZ$7:AZ$32,"a",$AW$7:$AW$32)*AZ5</f>
        <v>0</v>
      </c>
      <c r="BA36" s="467">
        <f>SUMIF(BA$7:BA$32,"a",$AW$7:$AW$32)*BA5</f>
        <v>0</v>
      </c>
      <c r="BB36" s="470">
        <f>SUMIF(BB$7:BB$32,"a",$AW$7:$AW$32)*BB5</f>
        <v>0</v>
      </c>
      <c r="BC36" s="472">
        <f>SUMIF(BC$7:BC$32,"a",$AW$7:$AW$32)*BC5</f>
        <v>0</v>
      </c>
      <c r="BD36" s="475">
        <f>SUMIF(BD$7:BD$32,"a",$AW$7:$AW$32)*BD5</f>
        <v>0</v>
      </c>
      <c r="BE36" s="835">
        <f>+BE34</f>
        <v>0</v>
      </c>
      <c r="BF36" s="836"/>
      <c r="BG36" s="837"/>
      <c r="BH36" s="456">
        <f>SUMIF(BH$7:BH$32,"a",$BE$7:$BE$32)*BH5</f>
        <v>0</v>
      </c>
      <c r="BI36" s="467">
        <f>SUMIF(BI$7:BI$32,"a",$BE$7:$BE$32)*BI5</f>
        <v>0</v>
      </c>
      <c r="BJ36" s="470">
        <f>SUMIF(BJ$7:BJ$32,"a",$BE$7:$BE$32)*BJ5</f>
        <v>0</v>
      </c>
      <c r="BK36" s="472">
        <f>SUMIF(BK$7:BK$32,"a",$BE$7:$BE$32)*BK5</f>
        <v>0</v>
      </c>
      <c r="BL36" s="475">
        <f>SUMIF(BL$7:BL$32,"a",$BE$7:$BE$32)*BL5</f>
        <v>0</v>
      </c>
      <c r="BM36" s="835">
        <f>+BM34</f>
        <v>0</v>
      </c>
      <c r="BN36" s="836"/>
      <c r="BO36" s="837"/>
      <c r="BP36" s="456">
        <f>SUMIF(BP$7:BP$32,"a",$BM$7:$BM$32)*BP5</f>
        <v>0</v>
      </c>
      <c r="BQ36" s="467">
        <f>SUMIF(BQ$7:BQ$32,"a",$BM$7:$BM$32)*BQ5</f>
        <v>0</v>
      </c>
      <c r="BR36" s="470">
        <f>SUMIF(BR$7:BR$32,"a",$BM$7:$BM$32)*BR5</f>
        <v>0</v>
      </c>
      <c r="BS36" s="472">
        <f>SUMIF(BS$7:BS$32,"a",$BM$7:$BM$32)*BS5</f>
        <v>0</v>
      </c>
      <c r="BT36" s="475">
        <f>SUMIF(BT$7:BT$32,"a",$BM$7:$BM$32)*BT5</f>
        <v>0</v>
      </c>
      <c r="BU36" s="835">
        <f>+BU34</f>
        <v>0</v>
      </c>
      <c r="BV36" s="836"/>
      <c r="BW36" s="837"/>
      <c r="BX36" s="456">
        <f>SUMIF(BX$7:BX$32,"a",$BU$7:$BU$32)*BX5</f>
        <v>0</v>
      </c>
      <c r="BY36" s="467">
        <f>SUMIF(BY$7:BY$32,"a",$BU$7:$BU$32)*BY5</f>
        <v>0</v>
      </c>
      <c r="BZ36" s="470">
        <f>SUMIF(BZ$7:BZ$32,"a",$BU$7:$BU$32)*BZ5</f>
        <v>0</v>
      </c>
      <c r="CA36" s="472">
        <f>SUMIF(CA$7:CA$32,"a",$BU$7:$BU$32)*CA5</f>
        <v>0</v>
      </c>
      <c r="CB36" s="475">
        <f>SUMIF(CB$7:CB$32,"a",$BU$7:$BU$32)*CB5</f>
        <v>0</v>
      </c>
      <c r="CC36" s="458">
        <f>+CC34</f>
        <v>0</v>
      </c>
      <c r="CD36" s="460"/>
      <c r="CE36" s="464"/>
      <c r="CF36" s="462">
        <f>SUMIF(CF$7:CF$32,"a",$CC$7:$CC$32)*CF5</f>
        <v>0</v>
      </c>
      <c r="CG36" s="530">
        <f t="shared" ref="CG36:CL36" si="34">SUMIF(CG$7:CG$32,"a",$CC$7:$CC$32)*CG5</f>
        <v>0</v>
      </c>
      <c r="CH36" s="532">
        <f t="shared" si="34"/>
        <v>0</v>
      </c>
      <c r="CI36" s="534">
        <f t="shared" si="34"/>
        <v>0</v>
      </c>
      <c r="CJ36" s="536">
        <f t="shared" si="34"/>
        <v>0</v>
      </c>
      <c r="CK36" s="537">
        <f t="shared" si="34"/>
        <v>0</v>
      </c>
      <c r="CL36" s="540">
        <f t="shared" si="34"/>
        <v>0</v>
      </c>
      <c r="CM36" s="870">
        <f>SUM(A36:CL36)/60</f>
        <v>0</v>
      </c>
      <c r="CN36" s="871"/>
    </row>
  </sheetData>
  <sheetProtection sheet="1" objects="1" scenarios="1"/>
  <mergeCells count="135">
    <mergeCell ref="A1:CL1"/>
    <mergeCell ref="I3:K3"/>
    <mergeCell ref="I4:K4"/>
    <mergeCell ref="Q3:S3"/>
    <mergeCell ref="Q4:S4"/>
    <mergeCell ref="Y3:AA3"/>
    <mergeCell ref="Y4:AA4"/>
    <mergeCell ref="AG3:AI3"/>
    <mergeCell ref="AG4:AI4"/>
    <mergeCell ref="AO3:AQ3"/>
    <mergeCell ref="CC2:CL2"/>
    <mergeCell ref="CC3:CE3"/>
    <mergeCell ref="CC4:CE4"/>
    <mergeCell ref="AG2:AN2"/>
    <mergeCell ref="AO2:AV2"/>
    <mergeCell ref="A2:H2"/>
    <mergeCell ref="Q2:X2"/>
    <mergeCell ref="BE2:BL2"/>
    <mergeCell ref="BE4:BG4"/>
    <mergeCell ref="AW2:BD2"/>
    <mergeCell ref="AW3:AY3"/>
    <mergeCell ref="AZ3:BD3"/>
    <mergeCell ref="AW4:AY4"/>
    <mergeCell ref="Y2:AF2"/>
    <mergeCell ref="CM33:CN33"/>
    <mergeCell ref="CM35:CN35"/>
    <mergeCell ref="CM34:CN34"/>
    <mergeCell ref="CM36:CN36"/>
    <mergeCell ref="Y34:AA34"/>
    <mergeCell ref="Y35:AA35"/>
    <mergeCell ref="Y36:AA36"/>
    <mergeCell ref="AG34:AI34"/>
    <mergeCell ref="AG35:AI35"/>
    <mergeCell ref="AG36:AI36"/>
    <mergeCell ref="AO34:AQ34"/>
    <mergeCell ref="AO35:AQ35"/>
    <mergeCell ref="AO36:AQ36"/>
    <mergeCell ref="AJ35:AN35"/>
    <mergeCell ref="AR35:AV35"/>
    <mergeCell ref="AG33:AI33"/>
    <mergeCell ref="AW36:AY36"/>
    <mergeCell ref="AW33:AY33"/>
    <mergeCell ref="AW34:AY34"/>
    <mergeCell ref="AW35:AY35"/>
    <mergeCell ref="BX35:CB35"/>
    <mergeCell ref="BM36:BO36"/>
    <mergeCell ref="BU36:BW36"/>
    <mergeCell ref="BM34:BO34"/>
    <mergeCell ref="A36:C36"/>
    <mergeCell ref="I34:K34"/>
    <mergeCell ref="I36:K36"/>
    <mergeCell ref="Q34:S34"/>
    <mergeCell ref="Q36:S36"/>
    <mergeCell ref="I35:K35"/>
    <mergeCell ref="Q35:S35"/>
    <mergeCell ref="A34:C34"/>
    <mergeCell ref="A35:C35"/>
    <mergeCell ref="D35:H35"/>
    <mergeCell ref="L35:P35"/>
    <mergeCell ref="AB35:AF35"/>
    <mergeCell ref="A33:C33"/>
    <mergeCell ref="D3:H3"/>
    <mergeCell ref="D33:H33"/>
    <mergeCell ref="A5:C5"/>
    <mergeCell ref="Y33:AA33"/>
    <mergeCell ref="T33:X33"/>
    <mergeCell ref="I33:K33"/>
    <mergeCell ref="Q33:S33"/>
    <mergeCell ref="L3:P3"/>
    <mergeCell ref="L33:P33"/>
    <mergeCell ref="A3:C3"/>
    <mergeCell ref="T6:X6"/>
    <mergeCell ref="Q5:S5"/>
    <mergeCell ref="Y5:AA5"/>
    <mergeCell ref="I2:P2"/>
    <mergeCell ref="A4:C4"/>
    <mergeCell ref="D6:H6"/>
    <mergeCell ref="L6:P6"/>
    <mergeCell ref="I5:K5"/>
    <mergeCell ref="T35:X35"/>
    <mergeCell ref="T3:X3"/>
    <mergeCell ref="CF35:CL35"/>
    <mergeCell ref="AR3:AV3"/>
    <mergeCell ref="CF3:CL3"/>
    <mergeCell ref="AR33:AV33"/>
    <mergeCell ref="CF33:CL33"/>
    <mergeCell ref="CC5:CE5"/>
    <mergeCell ref="CC33:CE33"/>
    <mergeCell ref="CC35:CE35"/>
    <mergeCell ref="CF6:CL6"/>
    <mergeCell ref="BE3:BG3"/>
    <mergeCell ref="BH3:BL3"/>
    <mergeCell ref="BE33:BG33"/>
    <mergeCell ref="BH33:BL33"/>
    <mergeCell ref="BE34:BG34"/>
    <mergeCell ref="BE35:BG35"/>
    <mergeCell ref="BH35:BL35"/>
    <mergeCell ref="AO33:AQ33"/>
    <mergeCell ref="AJ3:AN3"/>
    <mergeCell ref="AJ33:AN33"/>
    <mergeCell ref="AB3:AF3"/>
    <mergeCell ref="AB33:AF33"/>
    <mergeCell ref="AR6:AV6"/>
    <mergeCell ref="AG5:AI5"/>
    <mergeCell ref="AO4:AQ4"/>
    <mergeCell ref="AO5:AQ5"/>
    <mergeCell ref="AJ6:AN6"/>
    <mergeCell ref="AB6:AF6"/>
    <mergeCell ref="BE36:BG36"/>
    <mergeCell ref="AZ6:BD6"/>
    <mergeCell ref="AZ33:BD33"/>
    <mergeCell ref="AZ35:BD35"/>
    <mergeCell ref="AW5:AY5"/>
    <mergeCell ref="BM4:BO4"/>
    <mergeCell ref="BU4:BW4"/>
    <mergeCell ref="BM5:BO5"/>
    <mergeCell ref="BU5:BW5"/>
    <mergeCell ref="BP6:BT6"/>
    <mergeCell ref="BM35:BO35"/>
    <mergeCell ref="BP35:BT35"/>
    <mergeCell ref="BU35:BW35"/>
    <mergeCell ref="BM2:BT2"/>
    <mergeCell ref="BU2:CB2"/>
    <mergeCell ref="BM3:BO3"/>
    <mergeCell ref="BP3:BT3"/>
    <mergeCell ref="BU3:BW3"/>
    <mergeCell ref="BX3:CB3"/>
    <mergeCell ref="BE5:BG5"/>
    <mergeCell ref="BH6:BL6"/>
    <mergeCell ref="BU34:BW34"/>
    <mergeCell ref="BX6:CB6"/>
    <mergeCell ref="BM33:BO33"/>
    <mergeCell ref="BP33:BT33"/>
    <mergeCell ref="BU33:BW33"/>
    <mergeCell ref="BX33:CB33"/>
  </mergeCells>
  <phoneticPr fontId="16"/>
  <dataValidations count="1">
    <dataValidation type="list" allowBlank="1" showInputMessage="1" showErrorMessage="1" sqref="CF7:CL32 D7:H32 AZ7:BD32 L7:P32 T7:X32 AB7:AF32 AJ7:AN32 AR7:AV32 BH7:BL32 BP7:BT32 BX7:CB32" xr:uid="{66C5797B-ADD4-4442-9670-EA6AC39F0F68}">
      <formula1>$CM$7:$CM$8</formula1>
    </dataValidation>
  </dataValidations>
  <printOptions horizontalCentered="1"/>
  <pageMargins left="0.15748031496062992" right="0.15748031496062992" top="1.1811023622047245" bottom="0.39370078740157483" header="0.51181102362204722" footer="0.51181102362204722"/>
  <pageSetup scale="20" orientation="landscape" horizontalDpi="4294967292" verticalDpi="4294967292"/>
  <headerFooter>
    <oddFooter>&amp;RUdskrevet den &amp;D</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D2FB"/>
    <pageSetUpPr fitToPage="1"/>
  </sheetPr>
  <dimension ref="A1:J36"/>
  <sheetViews>
    <sheetView workbookViewId="0">
      <selection activeCell="G26" sqref="G26"/>
    </sheetView>
  </sheetViews>
  <sheetFormatPr baseColWidth="10" defaultRowHeight="16"/>
  <cols>
    <col min="1" max="1" width="12.42578125" customWidth="1"/>
    <col min="2" max="2" width="22.5703125" customWidth="1"/>
    <col min="3" max="3" width="13.5703125" customWidth="1"/>
    <col min="4" max="4" width="11.7109375" customWidth="1"/>
    <col min="5" max="5" width="9.28515625" customWidth="1"/>
    <col min="6" max="6" width="11.7109375" customWidth="1"/>
    <col min="7" max="7" width="11" customWidth="1"/>
  </cols>
  <sheetData>
    <row r="1" spans="1:8" ht="28" customHeight="1" thickBot="1">
      <c r="A1" s="878" t="s">
        <v>119</v>
      </c>
      <c r="B1" s="879"/>
      <c r="C1" s="879"/>
      <c r="D1" s="879"/>
      <c r="E1" s="879"/>
      <c r="F1" s="879"/>
      <c r="G1" s="880"/>
    </row>
    <row r="2" spans="1:8" ht="21" customHeight="1">
      <c r="A2" s="887" t="str">
        <f>'Stamdata Årsnorm'!A2</f>
        <v>Arbejdstidsoversigt for skoleåret:</v>
      </c>
      <c r="B2" s="888"/>
      <c r="C2" s="889"/>
      <c r="D2" s="890" t="str">
        <f>'Stamdata Årsnorm'!D2</f>
        <v>2022-2023</v>
      </c>
      <c r="E2" s="891"/>
      <c r="F2" s="891"/>
      <c r="G2" s="892"/>
    </row>
    <row r="3" spans="1:8" ht="21" customHeight="1">
      <c r="A3" s="881" t="s">
        <v>121</v>
      </c>
      <c r="B3" s="882"/>
      <c r="C3" s="883"/>
      <c r="D3" s="884">
        <f>'Stamdata Årsnorm'!D3</f>
        <v>0</v>
      </c>
      <c r="E3" s="885"/>
      <c r="F3" s="885"/>
      <c r="G3" s="886"/>
    </row>
    <row r="4" spans="1:8" ht="21" customHeight="1">
      <c r="A4" s="881" t="s">
        <v>122</v>
      </c>
      <c r="B4" s="882"/>
      <c r="C4" s="883"/>
      <c r="D4" s="884">
        <f>'Stamdata Årsnorm'!D4</f>
        <v>0</v>
      </c>
      <c r="E4" s="885"/>
      <c r="F4" s="885"/>
      <c r="G4" s="886"/>
    </row>
    <row r="5" spans="1:8" ht="21" customHeight="1">
      <c r="A5" s="899" t="s">
        <v>123</v>
      </c>
      <c r="B5" s="900"/>
      <c r="C5" s="901"/>
      <c r="D5" s="918" t="s">
        <v>124</v>
      </c>
      <c r="E5" s="919"/>
      <c r="F5" s="922" t="s">
        <v>125</v>
      </c>
      <c r="G5" s="923"/>
    </row>
    <row r="6" spans="1:8" ht="21" customHeight="1">
      <c r="A6" s="902"/>
      <c r="B6" s="903"/>
      <c r="C6" s="904"/>
      <c r="D6" s="920"/>
      <c r="E6" s="921"/>
      <c r="F6" s="924"/>
      <c r="G6" s="925"/>
    </row>
    <row r="7" spans="1:8" ht="21" customHeight="1">
      <c r="A7" s="905"/>
      <c r="B7" s="906"/>
      <c r="C7" s="907"/>
      <c r="D7" s="908">
        <f>'Stamdata Årsnorm'!D7</f>
        <v>0</v>
      </c>
      <c r="E7" s="909"/>
      <c r="F7" s="910">
        <f>'Stamdata Årsnorm'!F7</f>
        <v>0</v>
      </c>
      <c r="G7" s="911"/>
    </row>
    <row r="8" spans="1:8" ht="21" customHeight="1">
      <c r="A8" s="912" t="s">
        <v>127</v>
      </c>
      <c r="B8" s="913"/>
      <c r="C8" s="914"/>
      <c r="D8" s="915">
        <f>'Stamdata Årsnorm'!D8</f>
        <v>0</v>
      </c>
      <c r="E8" s="916"/>
      <c r="F8" s="916"/>
      <c r="G8" s="917"/>
    </row>
    <row r="9" spans="1:8" ht="21" customHeight="1" thickBot="1">
      <c r="A9" s="893" t="str">
        <f>"Antal arbejdstimer for "&amp;D4&amp;" i normperioden "&amp;D2&amp;":"</f>
        <v>Antal arbejdstimer for 0 i normperioden 2022-2023:</v>
      </c>
      <c r="B9" s="894"/>
      <c r="C9" s="895"/>
      <c r="D9" s="896">
        <f>'Stamdata Årsnorm'!F27</f>
        <v>0</v>
      </c>
      <c r="E9" s="897"/>
      <c r="F9" s="897"/>
      <c r="G9" s="898"/>
    </row>
    <row r="10" spans="1:8" ht="22" thickBot="1">
      <c r="A10" s="929" t="s">
        <v>149</v>
      </c>
      <c r="B10" s="930"/>
      <c r="C10" s="930"/>
      <c r="D10" s="930"/>
      <c r="E10" s="930"/>
      <c r="F10" s="930"/>
      <c r="G10" s="931"/>
    </row>
    <row r="11" spans="1:8">
      <c r="A11" s="516">
        <v>1</v>
      </c>
      <c r="B11" s="935" t="s">
        <v>189</v>
      </c>
      <c r="C11" s="935"/>
      <c r="D11" s="935"/>
      <c r="E11" s="935"/>
      <c r="F11" s="935"/>
      <c r="G11" s="517">
        <f>'Faste arbejdsopgaver'!CM34</f>
        <v>0</v>
      </c>
    </row>
    <row r="12" spans="1:8" ht="17" thickBot="1">
      <c r="A12" s="518">
        <f>A11+1</f>
        <v>2</v>
      </c>
      <c r="B12" s="936" t="s">
        <v>148</v>
      </c>
      <c r="C12" s="936"/>
      <c r="D12" s="936"/>
      <c r="E12" s="936"/>
      <c r="F12" s="936"/>
      <c r="G12" s="519">
        <f>'Faste arbejdsopgaver'!CM36</f>
        <v>0</v>
      </c>
    </row>
    <row r="13" spans="1:8" ht="17" thickBot="1">
      <c r="A13" s="926" t="s">
        <v>145</v>
      </c>
      <c r="B13" s="927"/>
      <c r="C13" s="927"/>
      <c r="D13" s="927"/>
      <c r="E13" s="927"/>
      <c r="F13" s="928"/>
      <c r="G13" s="481">
        <f>SUM(G11:G12)</f>
        <v>0</v>
      </c>
    </row>
    <row r="14" spans="1:8" ht="21">
      <c r="A14" s="932" t="s">
        <v>146</v>
      </c>
      <c r="B14" s="933"/>
      <c r="C14" s="933"/>
      <c r="D14" s="933"/>
      <c r="E14" s="933"/>
      <c r="F14" s="933"/>
      <c r="G14" s="934"/>
    </row>
    <row r="15" spans="1:8" ht="17" thickBot="1">
      <c r="A15" s="950" t="str">
        <f>"(Hvis brug for flere rækker, kan disse indsættes imellem række "&amp;$H$16&amp;" - "&amp;H29&amp;")"</f>
        <v>(Hvis brug for flere rækker, kan disse indsættes imellem række 16 - 29)</v>
      </c>
      <c r="B15" s="951"/>
      <c r="C15" s="951"/>
      <c r="D15" s="951"/>
      <c r="E15" s="951"/>
      <c r="F15" s="951"/>
      <c r="G15" s="952"/>
    </row>
    <row r="16" spans="1:8">
      <c r="A16" s="482">
        <f>A12+1</f>
        <v>3</v>
      </c>
      <c r="B16" s="948" t="s">
        <v>146</v>
      </c>
      <c r="C16" s="948"/>
      <c r="D16" s="948"/>
      <c r="E16" s="948"/>
      <c r="F16" s="948"/>
      <c r="G16" s="483">
        <v>0</v>
      </c>
      <c r="H16" s="441">
        <f>ROW(H16)</f>
        <v>16</v>
      </c>
    </row>
    <row r="17" spans="1:8">
      <c r="A17" s="484">
        <f t="shared" ref="A17:A29" si="0">A16+1</f>
        <v>4</v>
      </c>
      <c r="B17" s="949" t="s">
        <v>252</v>
      </c>
      <c r="C17" s="949"/>
      <c r="D17" s="949"/>
      <c r="E17" s="949"/>
      <c r="F17" s="949"/>
      <c r="G17" s="485">
        <v>0</v>
      </c>
      <c r="H17" s="441"/>
    </row>
    <row r="18" spans="1:8">
      <c r="A18" s="482">
        <f t="shared" si="0"/>
        <v>5</v>
      </c>
      <c r="B18" s="948" t="s">
        <v>140</v>
      </c>
      <c r="C18" s="948"/>
      <c r="D18" s="948"/>
      <c r="E18" s="948"/>
      <c r="F18" s="948"/>
      <c r="G18" s="483">
        <v>0</v>
      </c>
      <c r="H18" s="441"/>
    </row>
    <row r="19" spans="1:8">
      <c r="A19" s="484">
        <f t="shared" si="0"/>
        <v>6</v>
      </c>
      <c r="B19" s="949" t="s">
        <v>253</v>
      </c>
      <c r="C19" s="949"/>
      <c r="D19" s="949"/>
      <c r="E19" s="949"/>
      <c r="F19" s="949"/>
      <c r="G19" s="485">
        <v>0</v>
      </c>
      <c r="H19" s="441"/>
    </row>
    <row r="20" spans="1:8">
      <c r="A20" s="482">
        <f t="shared" si="0"/>
        <v>7</v>
      </c>
      <c r="B20" s="948" t="s">
        <v>254</v>
      </c>
      <c r="C20" s="948"/>
      <c r="D20" s="948"/>
      <c r="E20" s="948"/>
      <c r="F20" s="948"/>
      <c r="G20" s="483">
        <v>0</v>
      </c>
      <c r="H20" s="441"/>
    </row>
    <row r="21" spans="1:8">
      <c r="A21" s="484">
        <f t="shared" si="0"/>
        <v>8</v>
      </c>
      <c r="B21" s="949" t="s">
        <v>141</v>
      </c>
      <c r="C21" s="949"/>
      <c r="D21" s="949"/>
      <c r="E21" s="949"/>
      <c r="F21" s="949"/>
      <c r="G21" s="485">
        <v>0</v>
      </c>
      <c r="H21" s="441"/>
    </row>
    <row r="22" spans="1:8">
      <c r="A22" s="482">
        <f t="shared" si="0"/>
        <v>9</v>
      </c>
      <c r="B22" s="948" t="s">
        <v>142</v>
      </c>
      <c r="C22" s="948"/>
      <c r="D22" s="948"/>
      <c r="E22" s="948"/>
      <c r="F22" s="948"/>
      <c r="G22" s="483">
        <v>0</v>
      </c>
      <c r="H22" s="441"/>
    </row>
    <row r="23" spans="1:8">
      <c r="A23" s="484">
        <f t="shared" si="0"/>
        <v>10</v>
      </c>
      <c r="B23" s="949" t="s">
        <v>143</v>
      </c>
      <c r="C23" s="949"/>
      <c r="D23" s="949"/>
      <c r="E23" s="949"/>
      <c r="F23" s="949"/>
      <c r="G23" s="485">
        <v>0</v>
      </c>
      <c r="H23" s="441"/>
    </row>
    <row r="24" spans="1:8">
      <c r="A24" s="482">
        <f t="shared" si="0"/>
        <v>11</v>
      </c>
      <c r="B24" s="948" t="s">
        <v>144</v>
      </c>
      <c r="C24" s="948"/>
      <c r="D24" s="948"/>
      <c r="E24" s="948"/>
      <c r="F24" s="948"/>
      <c r="G24" s="483">
        <v>0</v>
      </c>
      <c r="H24" s="441"/>
    </row>
    <row r="25" spans="1:8">
      <c r="A25" s="484">
        <f t="shared" si="0"/>
        <v>12</v>
      </c>
      <c r="B25" s="949" t="s">
        <v>183</v>
      </c>
      <c r="C25" s="949"/>
      <c r="D25" s="949"/>
      <c r="E25" s="949"/>
      <c r="F25" s="949"/>
      <c r="G25" s="485">
        <v>0</v>
      </c>
      <c r="H25" s="441"/>
    </row>
    <row r="26" spans="1:8">
      <c r="A26" s="482">
        <f t="shared" si="0"/>
        <v>13</v>
      </c>
      <c r="B26" s="948"/>
      <c r="C26" s="948"/>
      <c r="D26" s="948"/>
      <c r="E26" s="948"/>
      <c r="F26" s="948"/>
      <c r="G26" s="483">
        <v>0</v>
      </c>
      <c r="H26" s="441"/>
    </row>
    <row r="27" spans="1:8">
      <c r="A27" s="486">
        <f t="shared" si="0"/>
        <v>14</v>
      </c>
      <c r="B27" s="949"/>
      <c r="C27" s="949"/>
      <c r="D27" s="949"/>
      <c r="E27" s="949"/>
      <c r="F27" s="949"/>
      <c r="G27" s="485">
        <v>0</v>
      </c>
      <c r="H27" s="441"/>
    </row>
    <row r="28" spans="1:8">
      <c r="A28" s="487">
        <f>A27+1</f>
        <v>15</v>
      </c>
      <c r="B28" s="953"/>
      <c r="C28" s="953"/>
      <c r="D28" s="953"/>
      <c r="E28" s="953"/>
      <c r="F28" s="953"/>
      <c r="G28" s="488">
        <v>0</v>
      </c>
      <c r="H28" s="441"/>
    </row>
    <row r="29" spans="1:8" ht="17" thickBot="1">
      <c r="A29" s="489">
        <f t="shared" si="0"/>
        <v>16</v>
      </c>
      <c r="B29" s="954"/>
      <c r="C29" s="954"/>
      <c r="D29" s="954"/>
      <c r="E29" s="954"/>
      <c r="F29" s="954"/>
      <c r="G29" s="490">
        <v>0</v>
      </c>
      <c r="H29" s="441">
        <f>ROW(H29)</f>
        <v>29</v>
      </c>
    </row>
    <row r="30" spans="1:8">
      <c r="A30" s="491">
        <f>A29+1</f>
        <v>17</v>
      </c>
      <c r="B30" s="955" t="s">
        <v>15</v>
      </c>
      <c r="C30" s="955"/>
      <c r="D30" s="955"/>
      <c r="E30" s="955"/>
      <c r="F30" s="956"/>
      <c r="G30" s="494">
        <f>SUM(G16:G29)</f>
        <v>0</v>
      </c>
      <c r="H30" s="441"/>
    </row>
    <row r="31" spans="1:8">
      <c r="A31" s="492">
        <f>A30+1</f>
        <v>18</v>
      </c>
      <c r="B31" s="957" t="s">
        <v>3</v>
      </c>
      <c r="C31" s="957"/>
      <c r="D31" s="957"/>
      <c r="E31" s="957"/>
      <c r="F31" s="958"/>
      <c r="G31" s="495">
        <f>G30+G13</f>
        <v>0</v>
      </c>
      <c r="H31" s="441"/>
    </row>
    <row r="32" spans="1:8" ht="17" thickBot="1">
      <c r="A32" s="493">
        <f>A31+1</f>
        <v>19</v>
      </c>
      <c r="B32" s="937" t="s">
        <v>150</v>
      </c>
      <c r="C32" s="937"/>
      <c r="D32" s="937"/>
      <c r="E32" s="937"/>
      <c r="F32" s="938"/>
      <c r="G32" s="496">
        <f>G31-D9</f>
        <v>0</v>
      </c>
    </row>
    <row r="33" spans="1:10" ht="16" customHeight="1">
      <c r="A33" s="939" t="s">
        <v>187</v>
      </c>
      <c r="B33" s="940"/>
      <c r="C33" s="940"/>
      <c r="D33" s="940"/>
      <c r="E33" s="940"/>
      <c r="F33" s="940"/>
      <c r="G33" s="941"/>
      <c r="H33" s="478"/>
      <c r="I33" s="478"/>
      <c r="J33" s="479"/>
    </row>
    <row r="34" spans="1:10">
      <c r="A34" s="942"/>
      <c r="B34" s="943"/>
      <c r="C34" s="943"/>
      <c r="D34" s="943"/>
      <c r="E34" s="943"/>
      <c r="F34" s="943"/>
      <c r="G34" s="944"/>
      <c r="H34" s="478"/>
      <c r="I34" s="478"/>
      <c r="J34" s="479"/>
    </row>
    <row r="35" spans="1:10">
      <c r="A35" s="942"/>
      <c r="B35" s="943"/>
      <c r="C35" s="943"/>
      <c r="D35" s="943"/>
      <c r="E35" s="943"/>
      <c r="F35" s="943"/>
      <c r="G35" s="944"/>
      <c r="H35" s="480"/>
      <c r="I35" s="480"/>
      <c r="J35" s="480"/>
    </row>
    <row r="36" spans="1:10" ht="17" thickBot="1">
      <c r="A36" s="945"/>
      <c r="B36" s="946"/>
      <c r="C36" s="946"/>
      <c r="D36" s="946"/>
      <c r="E36" s="946"/>
      <c r="F36" s="946"/>
      <c r="G36" s="947"/>
    </row>
  </sheetData>
  <sheetProtection sheet="1" objects="1" scenarios="1"/>
  <mergeCells count="40">
    <mergeCell ref="A15:G15"/>
    <mergeCell ref="B28:F28"/>
    <mergeCell ref="B29:F29"/>
    <mergeCell ref="B30:F30"/>
    <mergeCell ref="B31:F31"/>
    <mergeCell ref="B16:F16"/>
    <mergeCell ref="B17:F17"/>
    <mergeCell ref="B18:F18"/>
    <mergeCell ref="B19:F19"/>
    <mergeCell ref="B20:F20"/>
    <mergeCell ref="B21:F21"/>
    <mergeCell ref="B32:F32"/>
    <mergeCell ref="A33:G36"/>
    <mergeCell ref="B22:F22"/>
    <mergeCell ref="B23:F23"/>
    <mergeCell ref="B24:F24"/>
    <mergeCell ref="B25:F25"/>
    <mergeCell ref="B26:F26"/>
    <mergeCell ref="B27:F27"/>
    <mergeCell ref="A13:F13"/>
    <mergeCell ref="A10:G10"/>
    <mergeCell ref="A14:G14"/>
    <mergeCell ref="B11:F11"/>
    <mergeCell ref="B12:F12"/>
    <mergeCell ref="A9:C9"/>
    <mergeCell ref="D9:G9"/>
    <mergeCell ref="A5:C7"/>
    <mergeCell ref="D7:E7"/>
    <mergeCell ref="F7:G7"/>
    <mergeCell ref="A8:C8"/>
    <mergeCell ref="D8:G8"/>
    <mergeCell ref="D5:E6"/>
    <mergeCell ref="F5:G6"/>
    <mergeCell ref="A1:G1"/>
    <mergeCell ref="A3:C3"/>
    <mergeCell ref="D3:G3"/>
    <mergeCell ref="A4:C4"/>
    <mergeCell ref="D4:G4"/>
    <mergeCell ref="A2:C2"/>
    <mergeCell ref="D2:G2"/>
  </mergeCells>
  <phoneticPr fontId="25" type="noConversion"/>
  <pageMargins left="0.75000000000000011" right="0.75000000000000011" top="0.75" bottom="0.75" header="0.5" footer="0.5"/>
  <pageSetup scale="77"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pageSetUpPr fitToPage="1"/>
  </sheetPr>
  <dimension ref="A1:AG49"/>
  <sheetViews>
    <sheetView showGridLines="0" topLeftCell="P18" workbookViewId="0">
      <selection activeCell="AG33" sqref="AG33"/>
    </sheetView>
  </sheetViews>
  <sheetFormatPr baseColWidth="10" defaultColWidth="11.5703125" defaultRowHeight="16"/>
  <cols>
    <col min="1" max="1" width="6.28515625" style="7" customWidth="1"/>
    <col min="2" max="2" width="9.7109375" style="7" customWidth="1"/>
    <col min="3" max="3" width="6.5703125" style="7" customWidth="1"/>
    <col min="4" max="32" width="5.85546875" style="7" customWidth="1"/>
    <col min="33" max="33" width="11.42578125" style="7" customWidth="1"/>
    <col min="34" max="34" width="11.28515625" style="7" customWidth="1"/>
    <col min="35" max="16384" width="11.5703125" style="7"/>
  </cols>
  <sheetData>
    <row r="1" spans="1:32" ht="17" thickBot="1">
      <c r="A1" s="974" t="s">
        <v>106</v>
      </c>
      <c r="B1" s="976" t="e">
        <f>'Stamdata Årsnorm'!#REF!</f>
        <v>#REF!</v>
      </c>
      <c r="C1" s="7" t="s">
        <v>86</v>
      </c>
    </row>
    <row r="2" spans="1:32" ht="15" customHeight="1" thickBot="1">
      <c r="A2" s="975"/>
      <c r="B2" s="977"/>
      <c r="C2" s="966" t="s">
        <v>6</v>
      </c>
      <c r="D2" s="967"/>
      <c r="E2" s="967"/>
      <c r="F2" s="967"/>
      <c r="G2" s="967"/>
      <c r="H2" s="968"/>
      <c r="I2" s="966" t="s">
        <v>10</v>
      </c>
      <c r="J2" s="967"/>
      <c r="K2" s="967"/>
      <c r="L2" s="967"/>
      <c r="M2" s="967"/>
      <c r="N2" s="968"/>
      <c r="O2" s="966" t="s">
        <v>11</v>
      </c>
      <c r="P2" s="967"/>
      <c r="Q2" s="967"/>
      <c r="R2" s="967"/>
      <c r="S2" s="967"/>
      <c r="T2" s="968"/>
      <c r="U2" s="966" t="s">
        <v>12</v>
      </c>
      <c r="V2" s="967"/>
      <c r="W2" s="967"/>
      <c r="X2" s="967"/>
      <c r="Y2" s="967"/>
      <c r="Z2" s="968"/>
      <c r="AA2" s="966" t="s">
        <v>13</v>
      </c>
      <c r="AB2" s="967"/>
      <c r="AC2" s="967"/>
      <c r="AD2" s="967"/>
      <c r="AE2" s="967"/>
      <c r="AF2" s="968"/>
    </row>
    <row r="3" spans="1:32" ht="17" thickBot="1">
      <c r="A3" s="251" t="s">
        <v>7</v>
      </c>
      <c r="B3" s="424" t="s">
        <v>8</v>
      </c>
      <c r="C3" s="252" t="e">
        <f>LEFT($A33,3)</f>
        <v>#REF!</v>
      </c>
      <c r="D3" s="253" t="e">
        <f>LEFT($A34,3)</f>
        <v>#REF!</v>
      </c>
      <c r="E3" s="254" t="e">
        <f>LEFT($A35,3)</f>
        <v>#REF!</v>
      </c>
      <c r="F3" s="255" t="e">
        <f>LEFT($A36,3)</f>
        <v>#REF!</v>
      </c>
      <c r="G3" s="256" t="e">
        <f>LEFT($A37,3)</f>
        <v>#REF!</v>
      </c>
      <c r="H3" s="11" t="e">
        <f>LEFT($A38,3)</f>
        <v>#REF!</v>
      </c>
      <c r="I3" s="252" t="e">
        <f>LEFT($A33,3)</f>
        <v>#REF!</v>
      </c>
      <c r="J3" s="253" t="e">
        <f>LEFT($A34,3)</f>
        <v>#REF!</v>
      </c>
      <c r="K3" s="254" t="e">
        <f>LEFT($A35,3)</f>
        <v>#REF!</v>
      </c>
      <c r="L3" s="255" t="e">
        <f>LEFT($A36,3)</f>
        <v>#REF!</v>
      </c>
      <c r="M3" s="256" t="e">
        <f>LEFT($A37,3)</f>
        <v>#REF!</v>
      </c>
      <c r="N3" s="11" t="e">
        <f>LEFT($A38,3)</f>
        <v>#REF!</v>
      </c>
      <c r="O3" s="252" t="e">
        <f>LEFT($A33,3)</f>
        <v>#REF!</v>
      </c>
      <c r="P3" s="253" t="e">
        <f>LEFT($A34,3)</f>
        <v>#REF!</v>
      </c>
      <c r="Q3" s="254" t="e">
        <f>LEFT($A35,3)</f>
        <v>#REF!</v>
      </c>
      <c r="R3" s="255" t="e">
        <f>LEFT($A36,3)</f>
        <v>#REF!</v>
      </c>
      <c r="S3" s="256" t="e">
        <f>LEFT($A37,3)</f>
        <v>#REF!</v>
      </c>
      <c r="T3" s="11" t="e">
        <f>LEFT($A38,3)</f>
        <v>#REF!</v>
      </c>
      <c r="U3" s="252" t="e">
        <f>LEFT($A33,3)</f>
        <v>#REF!</v>
      </c>
      <c r="V3" s="253" t="e">
        <f>LEFT($A34,3)</f>
        <v>#REF!</v>
      </c>
      <c r="W3" s="254" t="e">
        <f>LEFT($A35,3)</f>
        <v>#REF!</v>
      </c>
      <c r="X3" s="255" t="e">
        <f>LEFT($A36,3)</f>
        <v>#REF!</v>
      </c>
      <c r="Y3" s="256" t="e">
        <f>LEFT($A37,3)</f>
        <v>#REF!</v>
      </c>
      <c r="Z3" s="11" t="e">
        <f>LEFT($A38,3)</f>
        <v>#REF!</v>
      </c>
      <c r="AA3" s="252" t="e">
        <f>LEFT($A33,3)</f>
        <v>#REF!</v>
      </c>
      <c r="AB3" s="253" t="e">
        <f>LEFT($A34,3)</f>
        <v>#REF!</v>
      </c>
      <c r="AC3" s="254" t="e">
        <f>LEFT($A35,3)</f>
        <v>#REF!</v>
      </c>
      <c r="AD3" s="255" t="e">
        <f>LEFT($A36,3)</f>
        <v>#REF!</v>
      </c>
      <c r="AE3" s="256" t="e">
        <f>LEFT($A37,3)</f>
        <v>#REF!</v>
      </c>
      <c r="AF3" s="11" t="e">
        <f>LEFT($A38,3)</f>
        <v>#REF!</v>
      </c>
    </row>
    <row r="4" spans="1:32" ht="17" thickBot="1">
      <c r="A4" s="972" t="s">
        <v>22</v>
      </c>
      <c r="B4" s="973"/>
      <c r="C4" s="433"/>
      <c r="D4" s="434"/>
      <c r="E4" s="434"/>
      <c r="F4" s="434"/>
      <c r="G4" s="434"/>
      <c r="H4" s="435"/>
      <c r="I4" s="433"/>
      <c r="J4" s="434"/>
      <c r="K4" s="434"/>
      <c r="L4" s="434"/>
      <c r="M4" s="434"/>
      <c r="N4" s="435"/>
      <c r="O4" s="433"/>
      <c r="P4" s="434"/>
      <c r="Q4" s="434"/>
      <c r="R4" s="434"/>
      <c r="S4" s="434"/>
      <c r="T4" s="435"/>
      <c r="U4" s="433"/>
      <c r="V4" s="434"/>
      <c r="W4" s="434"/>
      <c r="X4" s="434"/>
      <c r="Y4" s="434"/>
      <c r="Z4" s="435"/>
      <c r="AA4" s="433"/>
      <c r="AB4" s="434"/>
      <c r="AC4" s="434"/>
      <c r="AD4" s="434"/>
      <c r="AE4" s="434"/>
      <c r="AF4" s="435"/>
    </row>
    <row r="5" spans="1:32" ht="18" customHeight="1">
      <c r="A5" s="18">
        <v>0.27083333333333331</v>
      </c>
      <c r="B5" s="250"/>
      <c r="C5" s="22"/>
      <c r="D5" s="27"/>
      <c r="E5" s="32"/>
      <c r="F5" s="37"/>
      <c r="G5" s="42"/>
      <c r="H5" s="5"/>
      <c r="I5" s="22"/>
      <c r="J5" s="27"/>
      <c r="K5" s="32"/>
      <c r="L5" s="37"/>
      <c r="M5" s="42"/>
      <c r="N5" s="5"/>
      <c r="O5" s="22"/>
      <c r="P5" s="27"/>
      <c r="Q5" s="32"/>
      <c r="R5" s="37"/>
      <c r="S5" s="42"/>
      <c r="T5" s="5"/>
      <c r="U5" s="22"/>
      <c r="V5" s="27"/>
      <c r="W5" s="32"/>
      <c r="X5" s="37"/>
      <c r="Y5" s="42"/>
      <c r="Z5" s="5"/>
      <c r="AA5" s="22"/>
      <c r="AB5" s="27"/>
      <c r="AC5" s="32"/>
      <c r="AD5" s="37"/>
      <c r="AE5" s="42"/>
      <c r="AF5" s="5"/>
    </row>
    <row r="6" spans="1:32" ht="18" customHeight="1">
      <c r="A6" s="12">
        <f t="shared" ref="A6:A30" si="0">A5+B5/24/60</f>
        <v>0.27083333333333331</v>
      </c>
      <c r="B6" s="2"/>
      <c r="C6" s="21"/>
      <c r="D6" s="26"/>
      <c r="E6" s="31"/>
      <c r="F6" s="36"/>
      <c r="G6" s="41"/>
      <c r="H6" s="4"/>
      <c r="I6" s="21"/>
      <c r="J6" s="26"/>
      <c r="K6" s="31"/>
      <c r="L6" s="36"/>
      <c r="M6" s="41"/>
      <c r="N6" s="4"/>
      <c r="O6" s="21"/>
      <c r="P6" s="26"/>
      <c r="Q6" s="31"/>
      <c r="R6" s="36"/>
      <c r="S6" s="41"/>
      <c r="T6" s="4"/>
      <c r="U6" s="21"/>
      <c r="V6" s="26"/>
      <c r="W6" s="31"/>
      <c r="X6" s="36"/>
      <c r="Y6" s="41"/>
      <c r="Z6" s="4"/>
      <c r="AA6" s="21"/>
      <c r="AB6" s="26"/>
      <c r="AC6" s="31"/>
      <c r="AD6" s="36"/>
      <c r="AE6" s="41"/>
      <c r="AF6" s="4"/>
    </row>
    <row r="7" spans="1:32" ht="18" customHeight="1">
      <c r="A7" s="13">
        <f t="shared" si="0"/>
        <v>0.27083333333333331</v>
      </c>
      <c r="B7" s="1"/>
      <c r="C7" s="22"/>
      <c r="D7" s="27"/>
      <c r="E7" s="32"/>
      <c r="F7" s="37"/>
      <c r="G7" s="42"/>
      <c r="H7" s="5"/>
      <c r="I7" s="22"/>
      <c r="J7" s="27"/>
      <c r="K7" s="32"/>
      <c r="L7" s="37"/>
      <c r="M7" s="42"/>
      <c r="N7" s="5"/>
      <c r="O7" s="22"/>
      <c r="P7" s="27"/>
      <c r="Q7" s="32"/>
      <c r="R7" s="37"/>
      <c r="S7" s="42"/>
      <c r="T7" s="5"/>
      <c r="U7" s="22"/>
      <c r="V7" s="27"/>
      <c r="W7" s="32"/>
      <c r="X7" s="37"/>
      <c r="Y7" s="42"/>
      <c r="Z7" s="5"/>
      <c r="AA7" s="22"/>
      <c r="AB7" s="27"/>
      <c r="AC7" s="32"/>
      <c r="AD7" s="37"/>
      <c r="AE7" s="42"/>
      <c r="AF7" s="5"/>
    </row>
    <row r="8" spans="1:32" ht="18" customHeight="1">
      <c r="A8" s="12">
        <f t="shared" si="0"/>
        <v>0.27083333333333331</v>
      </c>
      <c r="B8" s="2"/>
      <c r="C8" s="21"/>
      <c r="D8" s="26"/>
      <c r="E8" s="31"/>
      <c r="F8" s="36"/>
      <c r="G8" s="41"/>
      <c r="H8" s="4"/>
      <c r="I8" s="21"/>
      <c r="J8" s="26"/>
      <c r="K8" s="31"/>
      <c r="L8" s="36"/>
      <c r="M8" s="41"/>
      <c r="N8" s="4"/>
      <c r="O8" s="21"/>
      <c r="P8" s="26"/>
      <c r="Q8" s="31"/>
      <c r="R8" s="36"/>
      <c r="S8" s="41"/>
      <c r="T8" s="4"/>
      <c r="U8" s="21"/>
      <c r="V8" s="26"/>
      <c r="W8" s="31"/>
      <c r="X8" s="36"/>
      <c r="Y8" s="41"/>
      <c r="Z8" s="4"/>
      <c r="AA8" s="21"/>
      <c r="AB8" s="26"/>
      <c r="AC8" s="31"/>
      <c r="AD8" s="36"/>
      <c r="AE8" s="41"/>
      <c r="AF8" s="4"/>
    </row>
    <row r="9" spans="1:32" ht="18" customHeight="1">
      <c r="A9" s="13">
        <f t="shared" si="0"/>
        <v>0.27083333333333331</v>
      </c>
      <c r="B9" s="1"/>
      <c r="C9" s="22"/>
      <c r="D9" s="27"/>
      <c r="E9" s="32"/>
      <c r="F9" s="37"/>
      <c r="G9" s="42"/>
      <c r="H9" s="5"/>
      <c r="I9" s="22"/>
      <c r="J9" s="27"/>
      <c r="K9" s="32"/>
      <c r="L9" s="37"/>
      <c r="M9" s="42"/>
      <c r="N9" s="5"/>
      <c r="O9" s="22"/>
      <c r="P9" s="27"/>
      <c r="Q9" s="32"/>
      <c r="R9" s="37"/>
      <c r="S9" s="42"/>
      <c r="T9" s="5"/>
      <c r="U9" s="22"/>
      <c r="V9" s="27"/>
      <c r="W9" s="32"/>
      <c r="X9" s="37"/>
      <c r="Y9" s="42"/>
      <c r="Z9" s="5"/>
      <c r="AA9" s="22"/>
      <c r="AB9" s="27"/>
      <c r="AC9" s="32"/>
      <c r="AD9" s="37"/>
      <c r="AE9" s="42"/>
      <c r="AF9" s="5"/>
    </row>
    <row r="10" spans="1:32" ht="18" customHeight="1">
      <c r="A10" s="12">
        <f t="shared" si="0"/>
        <v>0.27083333333333331</v>
      </c>
      <c r="B10" s="2"/>
      <c r="C10" s="21"/>
      <c r="D10" s="26"/>
      <c r="E10" s="31"/>
      <c r="F10" s="36"/>
      <c r="G10" s="41"/>
      <c r="H10" s="4"/>
      <c r="I10" s="21"/>
      <c r="J10" s="26"/>
      <c r="K10" s="31"/>
      <c r="L10" s="36"/>
      <c r="M10" s="41"/>
      <c r="N10" s="4"/>
      <c r="O10" s="21"/>
      <c r="P10" s="26"/>
      <c r="Q10" s="31"/>
      <c r="R10" s="36"/>
      <c r="S10" s="41"/>
      <c r="T10" s="4"/>
      <c r="U10" s="21"/>
      <c r="V10" s="26"/>
      <c r="W10" s="31"/>
      <c r="X10" s="36"/>
      <c r="Y10" s="41"/>
      <c r="Z10" s="4"/>
      <c r="AA10" s="21"/>
      <c r="AB10" s="26"/>
      <c r="AC10" s="31"/>
      <c r="AD10" s="36"/>
      <c r="AE10" s="41"/>
      <c r="AF10" s="4"/>
    </row>
    <row r="11" spans="1:32" ht="18" customHeight="1">
      <c r="A11" s="14">
        <f t="shared" si="0"/>
        <v>0.27083333333333331</v>
      </c>
      <c r="B11" s="1"/>
      <c r="C11" s="22"/>
      <c r="D11" s="27"/>
      <c r="E11" s="32"/>
      <c r="F11" s="37"/>
      <c r="G11" s="42"/>
      <c r="H11" s="5"/>
      <c r="I11" s="22"/>
      <c r="J11" s="27"/>
      <c r="K11" s="32"/>
      <c r="L11" s="37"/>
      <c r="M11" s="42"/>
      <c r="N11" s="5"/>
      <c r="O11" s="22"/>
      <c r="P11" s="27"/>
      <c r="Q11" s="32"/>
      <c r="R11" s="37"/>
      <c r="S11" s="42"/>
      <c r="T11" s="5"/>
      <c r="U11" s="22"/>
      <c r="V11" s="27"/>
      <c r="W11" s="32"/>
      <c r="X11" s="37"/>
      <c r="Y11" s="42"/>
      <c r="Z11" s="5"/>
      <c r="AA11" s="22"/>
      <c r="AB11" s="27"/>
      <c r="AC11" s="32"/>
      <c r="AD11" s="37"/>
      <c r="AE11" s="42"/>
      <c r="AF11" s="5"/>
    </row>
    <row r="12" spans="1:32" ht="18" customHeight="1">
      <c r="A12" s="12">
        <f t="shared" si="0"/>
        <v>0.27083333333333331</v>
      </c>
      <c r="B12" s="2"/>
      <c r="C12" s="21"/>
      <c r="D12" s="26"/>
      <c r="E12" s="31"/>
      <c r="F12" s="36"/>
      <c r="G12" s="41"/>
      <c r="H12" s="4"/>
      <c r="I12" s="21"/>
      <c r="J12" s="26"/>
      <c r="K12" s="31"/>
      <c r="L12" s="36"/>
      <c r="M12" s="41"/>
      <c r="N12" s="4"/>
      <c r="O12" s="21"/>
      <c r="P12" s="26"/>
      <c r="Q12" s="31"/>
      <c r="R12" s="36"/>
      <c r="S12" s="41"/>
      <c r="T12" s="4"/>
      <c r="U12" s="21"/>
      <c r="V12" s="26"/>
      <c r="W12" s="31"/>
      <c r="X12" s="36"/>
      <c r="Y12" s="41"/>
      <c r="Z12" s="4"/>
      <c r="AA12" s="21"/>
      <c r="AB12" s="26"/>
      <c r="AC12" s="31"/>
      <c r="AD12" s="36"/>
      <c r="AE12" s="41"/>
      <c r="AF12" s="4"/>
    </row>
    <row r="13" spans="1:32" ht="18" customHeight="1">
      <c r="A13" s="13">
        <f t="shared" si="0"/>
        <v>0.27083333333333331</v>
      </c>
      <c r="B13" s="1"/>
      <c r="C13" s="22"/>
      <c r="D13" s="27"/>
      <c r="E13" s="32"/>
      <c r="F13" s="37"/>
      <c r="G13" s="42"/>
      <c r="H13" s="5"/>
      <c r="I13" s="22"/>
      <c r="J13" s="27"/>
      <c r="K13" s="32"/>
      <c r="L13" s="37"/>
      <c r="M13" s="42"/>
      <c r="N13" s="5"/>
      <c r="O13" s="22"/>
      <c r="P13" s="27"/>
      <c r="Q13" s="32"/>
      <c r="R13" s="37"/>
      <c r="S13" s="42"/>
      <c r="T13" s="5"/>
      <c r="U13" s="22"/>
      <c r="V13" s="27"/>
      <c r="W13" s="32"/>
      <c r="X13" s="37"/>
      <c r="Y13" s="42"/>
      <c r="Z13" s="5"/>
      <c r="AA13" s="22"/>
      <c r="AB13" s="27"/>
      <c r="AC13" s="32"/>
      <c r="AD13" s="37"/>
      <c r="AE13" s="42"/>
      <c r="AF13" s="5"/>
    </row>
    <row r="14" spans="1:32" ht="18" customHeight="1">
      <c r="A14" s="12">
        <f t="shared" si="0"/>
        <v>0.27083333333333331</v>
      </c>
      <c r="B14" s="2"/>
      <c r="C14" s="21"/>
      <c r="D14" s="26"/>
      <c r="E14" s="31"/>
      <c r="F14" s="36"/>
      <c r="G14" s="41"/>
      <c r="H14" s="4"/>
      <c r="I14" s="21"/>
      <c r="J14" s="26"/>
      <c r="K14" s="31"/>
      <c r="L14" s="36"/>
      <c r="M14" s="41"/>
      <c r="N14" s="4"/>
      <c r="O14" s="21"/>
      <c r="P14" s="26"/>
      <c r="Q14" s="31"/>
      <c r="R14" s="36"/>
      <c r="S14" s="41"/>
      <c r="T14" s="4"/>
      <c r="U14" s="21"/>
      <c r="V14" s="26"/>
      <c r="W14" s="31"/>
      <c r="X14" s="36"/>
      <c r="Y14" s="41"/>
      <c r="Z14" s="4"/>
      <c r="AA14" s="21"/>
      <c r="AB14" s="26"/>
      <c r="AC14" s="31"/>
      <c r="AD14" s="36"/>
      <c r="AE14" s="41"/>
      <c r="AF14" s="4"/>
    </row>
    <row r="15" spans="1:32" ht="18" customHeight="1">
      <c r="A15" s="13">
        <f t="shared" si="0"/>
        <v>0.27083333333333331</v>
      </c>
      <c r="B15" s="1"/>
      <c r="C15" s="22"/>
      <c r="D15" s="27"/>
      <c r="E15" s="32"/>
      <c r="F15" s="37"/>
      <c r="G15" s="42"/>
      <c r="H15" s="5"/>
      <c r="I15" s="22"/>
      <c r="J15" s="27"/>
      <c r="K15" s="32"/>
      <c r="L15" s="37"/>
      <c r="M15" s="42"/>
      <c r="N15" s="5"/>
      <c r="O15" s="22"/>
      <c r="P15" s="27"/>
      <c r="Q15" s="32"/>
      <c r="R15" s="37"/>
      <c r="S15" s="42"/>
      <c r="T15" s="5"/>
      <c r="U15" s="22"/>
      <c r="V15" s="27"/>
      <c r="W15" s="32"/>
      <c r="X15" s="37"/>
      <c r="Y15" s="42"/>
      <c r="Z15" s="5"/>
      <c r="AA15" s="22"/>
      <c r="AB15" s="27"/>
      <c r="AC15" s="32"/>
      <c r="AD15" s="37"/>
      <c r="AE15" s="42"/>
      <c r="AF15" s="5"/>
    </row>
    <row r="16" spans="1:32" ht="18" customHeight="1">
      <c r="A16" s="12">
        <f t="shared" si="0"/>
        <v>0.27083333333333331</v>
      </c>
      <c r="B16" s="2"/>
      <c r="C16" s="21"/>
      <c r="D16" s="26"/>
      <c r="E16" s="31"/>
      <c r="F16" s="36"/>
      <c r="G16" s="41"/>
      <c r="H16" s="4"/>
      <c r="I16" s="21"/>
      <c r="J16" s="26"/>
      <c r="K16" s="31"/>
      <c r="L16" s="36"/>
      <c r="M16" s="41"/>
      <c r="N16" s="4"/>
      <c r="O16" s="21"/>
      <c r="P16" s="26"/>
      <c r="Q16" s="31"/>
      <c r="R16" s="36"/>
      <c r="S16" s="41"/>
      <c r="T16" s="4"/>
      <c r="U16" s="21"/>
      <c r="V16" s="26"/>
      <c r="W16" s="31"/>
      <c r="X16" s="36"/>
      <c r="Y16" s="41"/>
      <c r="Z16" s="4"/>
      <c r="AA16" s="21"/>
      <c r="AB16" s="26"/>
      <c r="AC16" s="31"/>
      <c r="AD16" s="36"/>
      <c r="AE16" s="41"/>
      <c r="AF16" s="4"/>
    </row>
    <row r="17" spans="1:33" ht="18" customHeight="1">
      <c r="A17" s="13">
        <f t="shared" si="0"/>
        <v>0.27083333333333331</v>
      </c>
      <c r="B17" s="1"/>
      <c r="C17" s="22"/>
      <c r="D17" s="27"/>
      <c r="E17" s="32"/>
      <c r="F17" s="37"/>
      <c r="G17" s="42"/>
      <c r="H17" s="5"/>
      <c r="I17" s="22"/>
      <c r="J17" s="27"/>
      <c r="K17" s="32"/>
      <c r="L17" s="37"/>
      <c r="M17" s="42"/>
      <c r="N17" s="5"/>
      <c r="O17" s="22"/>
      <c r="P17" s="27"/>
      <c r="Q17" s="32"/>
      <c r="R17" s="37"/>
      <c r="S17" s="42"/>
      <c r="T17" s="5"/>
      <c r="U17" s="22"/>
      <c r="V17" s="27"/>
      <c r="W17" s="32"/>
      <c r="X17" s="37"/>
      <c r="Y17" s="42"/>
      <c r="Z17" s="5"/>
      <c r="AA17" s="22"/>
      <c r="AB17" s="27"/>
      <c r="AC17" s="32"/>
      <c r="AD17" s="37"/>
      <c r="AE17" s="42"/>
      <c r="AF17" s="5"/>
    </row>
    <row r="18" spans="1:33" ht="18" customHeight="1">
      <c r="A18" s="12">
        <f t="shared" si="0"/>
        <v>0.27083333333333331</v>
      </c>
      <c r="B18" s="2"/>
      <c r="C18" s="21"/>
      <c r="D18" s="26"/>
      <c r="E18" s="31"/>
      <c r="F18" s="36"/>
      <c r="G18" s="41"/>
      <c r="H18" s="4"/>
      <c r="I18" s="21"/>
      <c r="J18" s="26"/>
      <c r="K18" s="31"/>
      <c r="L18" s="36"/>
      <c r="M18" s="41"/>
      <c r="N18" s="4"/>
      <c r="O18" s="21"/>
      <c r="P18" s="26"/>
      <c r="Q18" s="31"/>
      <c r="R18" s="36"/>
      <c r="S18" s="41"/>
      <c r="T18" s="4"/>
      <c r="U18" s="21"/>
      <c r="V18" s="26"/>
      <c r="W18" s="31"/>
      <c r="X18" s="36"/>
      <c r="Y18" s="41"/>
      <c r="Z18" s="4"/>
      <c r="AA18" s="21"/>
      <c r="AB18" s="26"/>
      <c r="AC18" s="31"/>
      <c r="AD18" s="36"/>
      <c r="AE18" s="41"/>
      <c r="AF18" s="4"/>
    </row>
    <row r="19" spans="1:33" ht="18" customHeight="1">
      <c r="A19" s="13">
        <f t="shared" si="0"/>
        <v>0.27083333333333331</v>
      </c>
      <c r="B19" s="1"/>
      <c r="C19" s="22"/>
      <c r="D19" s="27"/>
      <c r="E19" s="32"/>
      <c r="F19" s="37"/>
      <c r="G19" s="42"/>
      <c r="H19" s="5"/>
      <c r="I19" s="22"/>
      <c r="J19" s="27"/>
      <c r="K19" s="32"/>
      <c r="L19" s="37"/>
      <c r="M19" s="42"/>
      <c r="N19" s="5"/>
      <c r="O19" s="22"/>
      <c r="P19" s="27"/>
      <c r="Q19" s="32"/>
      <c r="R19" s="37"/>
      <c r="S19" s="42"/>
      <c r="T19" s="5"/>
      <c r="U19" s="22"/>
      <c r="V19" s="27"/>
      <c r="W19" s="32"/>
      <c r="X19" s="37"/>
      <c r="Y19" s="42"/>
      <c r="Z19" s="5"/>
      <c r="AA19" s="22"/>
      <c r="AB19" s="27"/>
      <c r="AC19" s="32"/>
      <c r="AD19" s="37"/>
      <c r="AE19" s="42"/>
      <c r="AF19" s="5"/>
    </row>
    <row r="20" spans="1:33" ht="18" customHeight="1">
      <c r="A20" s="12">
        <f t="shared" si="0"/>
        <v>0.27083333333333331</v>
      </c>
      <c r="B20" s="2"/>
      <c r="C20" s="21"/>
      <c r="D20" s="26"/>
      <c r="E20" s="31"/>
      <c r="F20" s="36"/>
      <c r="G20" s="41"/>
      <c r="H20" s="4"/>
      <c r="I20" s="21"/>
      <c r="J20" s="26"/>
      <c r="K20" s="31"/>
      <c r="L20" s="36"/>
      <c r="M20" s="41"/>
      <c r="N20" s="4"/>
      <c r="O20" s="21"/>
      <c r="P20" s="26"/>
      <c r="Q20" s="31"/>
      <c r="R20" s="36"/>
      <c r="S20" s="41"/>
      <c r="T20" s="4"/>
      <c r="U20" s="21"/>
      <c r="V20" s="26"/>
      <c r="W20" s="31"/>
      <c r="X20" s="36"/>
      <c r="Y20" s="41"/>
      <c r="Z20" s="4"/>
      <c r="AA20" s="21"/>
      <c r="AB20" s="26"/>
      <c r="AC20" s="31"/>
      <c r="AD20" s="36"/>
      <c r="AE20" s="41"/>
      <c r="AF20" s="4"/>
    </row>
    <row r="21" spans="1:33" ht="18" customHeight="1">
      <c r="A21" s="13">
        <f t="shared" si="0"/>
        <v>0.27083333333333331</v>
      </c>
      <c r="B21" s="1"/>
      <c r="C21" s="22"/>
      <c r="D21" s="27"/>
      <c r="E21" s="32"/>
      <c r="F21" s="37"/>
      <c r="G21" s="42"/>
      <c r="H21" s="5"/>
      <c r="I21" s="22"/>
      <c r="J21" s="27"/>
      <c r="K21" s="32"/>
      <c r="L21" s="37"/>
      <c r="M21" s="42"/>
      <c r="N21" s="5"/>
      <c r="O21" s="22"/>
      <c r="P21" s="27"/>
      <c r="Q21" s="32"/>
      <c r="R21" s="37"/>
      <c r="S21" s="42"/>
      <c r="T21" s="5"/>
      <c r="U21" s="22"/>
      <c r="V21" s="27"/>
      <c r="W21" s="32"/>
      <c r="X21" s="37"/>
      <c r="Y21" s="42"/>
      <c r="Z21" s="5"/>
      <c r="AA21" s="22"/>
      <c r="AB21" s="27"/>
      <c r="AC21" s="32"/>
      <c r="AD21" s="37"/>
      <c r="AE21" s="42"/>
      <c r="AF21" s="5"/>
    </row>
    <row r="22" spans="1:33" ht="18" customHeight="1">
      <c r="A22" s="12">
        <f t="shared" si="0"/>
        <v>0.27083333333333331</v>
      </c>
      <c r="B22" s="2"/>
      <c r="C22" s="21"/>
      <c r="D22" s="26"/>
      <c r="E22" s="31"/>
      <c r="F22" s="36"/>
      <c r="G22" s="41"/>
      <c r="H22" s="4"/>
      <c r="I22" s="21"/>
      <c r="J22" s="26"/>
      <c r="K22" s="31"/>
      <c r="L22" s="36"/>
      <c r="M22" s="41"/>
      <c r="N22" s="4"/>
      <c r="O22" s="21"/>
      <c r="P22" s="26"/>
      <c r="Q22" s="31"/>
      <c r="R22" s="36"/>
      <c r="S22" s="41"/>
      <c r="T22" s="4"/>
      <c r="U22" s="21"/>
      <c r="V22" s="26"/>
      <c r="W22" s="31"/>
      <c r="X22" s="36"/>
      <c r="Y22" s="41"/>
      <c r="Z22" s="4"/>
      <c r="AA22" s="21"/>
      <c r="AB22" s="26"/>
      <c r="AC22" s="31"/>
      <c r="AD22" s="36"/>
      <c r="AE22" s="41"/>
      <c r="AF22" s="4"/>
    </row>
    <row r="23" spans="1:33" ht="18" customHeight="1">
      <c r="A23" s="13">
        <f t="shared" si="0"/>
        <v>0.27083333333333331</v>
      </c>
      <c r="B23" s="1"/>
      <c r="C23" s="22"/>
      <c r="D23" s="27"/>
      <c r="E23" s="32"/>
      <c r="F23" s="37"/>
      <c r="G23" s="42"/>
      <c r="H23" s="5"/>
      <c r="I23" s="22"/>
      <c r="J23" s="27"/>
      <c r="K23" s="32"/>
      <c r="L23" s="37"/>
      <c r="M23" s="42"/>
      <c r="N23" s="5"/>
      <c r="O23" s="22"/>
      <c r="P23" s="27"/>
      <c r="Q23" s="32"/>
      <c r="R23" s="37"/>
      <c r="S23" s="42"/>
      <c r="T23" s="5"/>
      <c r="U23" s="22"/>
      <c r="V23" s="27"/>
      <c r="W23" s="32"/>
      <c r="X23" s="37"/>
      <c r="Y23" s="42"/>
      <c r="Z23" s="5"/>
      <c r="AA23" s="22"/>
      <c r="AB23" s="27"/>
      <c r="AC23" s="32"/>
      <c r="AD23" s="37"/>
      <c r="AE23" s="42"/>
      <c r="AF23" s="5"/>
    </row>
    <row r="24" spans="1:33" ht="18" customHeight="1">
      <c r="A24" s="12">
        <f t="shared" si="0"/>
        <v>0.27083333333333331</v>
      </c>
      <c r="B24" s="2"/>
      <c r="C24" s="21"/>
      <c r="D24" s="26"/>
      <c r="E24" s="31"/>
      <c r="F24" s="36"/>
      <c r="G24" s="41"/>
      <c r="H24" s="4"/>
      <c r="I24" s="21"/>
      <c r="J24" s="26"/>
      <c r="K24" s="31"/>
      <c r="L24" s="36"/>
      <c r="M24" s="41"/>
      <c r="N24" s="4"/>
      <c r="O24" s="21"/>
      <c r="P24" s="26"/>
      <c r="Q24" s="31"/>
      <c r="R24" s="36"/>
      <c r="S24" s="41"/>
      <c r="T24" s="4"/>
      <c r="U24" s="21"/>
      <c r="V24" s="26"/>
      <c r="W24" s="31"/>
      <c r="X24" s="36"/>
      <c r="Y24" s="41"/>
      <c r="Z24" s="4"/>
      <c r="AA24" s="21"/>
      <c r="AB24" s="26"/>
      <c r="AC24" s="31"/>
      <c r="AD24" s="36"/>
      <c r="AE24" s="41"/>
      <c r="AF24" s="4"/>
    </row>
    <row r="25" spans="1:33" ht="18" customHeight="1">
      <c r="A25" s="13">
        <f t="shared" si="0"/>
        <v>0.27083333333333331</v>
      </c>
      <c r="B25" s="1"/>
      <c r="C25" s="22"/>
      <c r="D25" s="27"/>
      <c r="E25" s="32"/>
      <c r="F25" s="37"/>
      <c r="G25" s="42"/>
      <c r="H25" s="5"/>
      <c r="I25" s="22"/>
      <c r="J25" s="27"/>
      <c r="K25" s="32"/>
      <c r="L25" s="37"/>
      <c r="M25" s="42"/>
      <c r="N25" s="5"/>
      <c r="O25" s="22"/>
      <c r="P25" s="27"/>
      <c r="Q25" s="32"/>
      <c r="R25" s="37"/>
      <c r="S25" s="42"/>
      <c r="T25" s="5"/>
      <c r="U25" s="22"/>
      <c r="V25" s="27"/>
      <c r="W25" s="32"/>
      <c r="X25" s="37"/>
      <c r="Y25" s="42"/>
      <c r="Z25" s="5"/>
      <c r="AA25" s="22"/>
      <c r="AB25" s="27"/>
      <c r="AC25" s="32"/>
      <c r="AD25" s="37"/>
      <c r="AE25" s="42"/>
      <c r="AF25" s="5"/>
    </row>
    <row r="26" spans="1:33" ht="18" customHeight="1">
      <c r="A26" s="12">
        <f t="shared" si="0"/>
        <v>0.27083333333333331</v>
      </c>
      <c r="B26" s="2"/>
      <c r="C26" s="21"/>
      <c r="D26" s="26"/>
      <c r="E26" s="31"/>
      <c r="F26" s="36"/>
      <c r="G26" s="41"/>
      <c r="H26" s="4"/>
      <c r="I26" s="21"/>
      <c r="J26" s="26"/>
      <c r="K26" s="31"/>
      <c r="L26" s="36"/>
      <c r="M26" s="41"/>
      <c r="N26" s="4"/>
      <c r="O26" s="21"/>
      <c r="P26" s="26"/>
      <c r="Q26" s="31"/>
      <c r="R26" s="36"/>
      <c r="S26" s="41"/>
      <c r="T26" s="4"/>
      <c r="U26" s="21"/>
      <c r="V26" s="26"/>
      <c r="W26" s="31"/>
      <c r="X26" s="36"/>
      <c r="Y26" s="41"/>
      <c r="Z26" s="4"/>
      <c r="AA26" s="21"/>
      <c r="AB26" s="26"/>
      <c r="AC26" s="31"/>
      <c r="AD26" s="36"/>
      <c r="AE26" s="41"/>
      <c r="AF26" s="4"/>
    </row>
    <row r="27" spans="1:33" ht="18" customHeight="1">
      <c r="A27" s="13">
        <f t="shared" si="0"/>
        <v>0.27083333333333331</v>
      </c>
      <c r="B27" s="1"/>
      <c r="C27" s="22"/>
      <c r="D27" s="27"/>
      <c r="E27" s="32"/>
      <c r="F27" s="37"/>
      <c r="G27" s="42"/>
      <c r="H27" s="5"/>
      <c r="I27" s="22"/>
      <c r="J27" s="27"/>
      <c r="K27" s="32"/>
      <c r="L27" s="37"/>
      <c r="M27" s="42"/>
      <c r="N27" s="5"/>
      <c r="O27" s="22"/>
      <c r="P27" s="27"/>
      <c r="Q27" s="32"/>
      <c r="R27" s="37"/>
      <c r="S27" s="42"/>
      <c r="T27" s="5"/>
      <c r="U27" s="22"/>
      <c r="V27" s="27"/>
      <c r="W27" s="32"/>
      <c r="X27" s="37"/>
      <c r="Y27" s="42"/>
      <c r="Z27" s="5"/>
      <c r="AA27" s="22"/>
      <c r="AB27" s="27"/>
      <c r="AC27" s="32"/>
      <c r="AD27" s="37"/>
      <c r="AE27" s="42"/>
      <c r="AF27" s="5"/>
    </row>
    <row r="28" spans="1:33" ht="18" customHeight="1">
      <c r="A28" s="12">
        <f t="shared" si="0"/>
        <v>0.27083333333333331</v>
      </c>
      <c r="B28" s="2"/>
      <c r="C28" s="21"/>
      <c r="D28" s="26"/>
      <c r="E28" s="31"/>
      <c r="F28" s="36"/>
      <c r="G28" s="41"/>
      <c r="H28" s="4"/>
      <c r="I28" s="21"/>
      <c r="J28" s="26"/>
      <c r="K28" s="31"/>
      <c r="L28" s="36"/>
      <c r="M28" s="41"/>
      <c r="N28" s="4"/>
      <c r="O28" s="21"/>
      <c r="P28" s="26"/>
      <c r="Q28" s="31"/>
      <c r="R28" s="36"/>
      <c r="S28" s="41"/>
      <c r="T28" s="4"/>
      <c r="U28" s="21"/>
      <c r="V28" s="26"/>
      <c r="W28" s="31"/>
      <c r="X28" s="36"/>
      <c r="Y28" s="41"/>
      <c r="Z28" s="4"/>
      <c r="AA28" s="21"/>
      <c r="AB28" s="26"/>
      <c r="AC28" s="31"/>
      <c r="AD28" s="36"/>
      <c r="AE28" s="41"/>
      <c r="AF28" s="4"/>
    </row>
    <row r="29" spans="1:33" ht="18" customHeight="1">
      <c r="A29" s="13">
        <f t="shared" si="0"/>
        <v>0.27083333333333331</v>
      </c>
      <c r="B29" s="1"/>
      <c r="C29" s="22"/>
      <c r="D29" s="27"/>
      <c r="E29" s="32"/>
      <c r="F29" s="37"/>
      <c r="G29" s="42"/>
      <c r="H29" s="5"/>
      <c r="I29" s="22"/>
      <c r="J29" s="27"/>
      <c r="K29" s="32"/>
      <c r="L29" s="37"/>
      <c r="M29" s="42"/>
      <c r="N29" s="5"/>
      <c r="O29" s="22"/>
      <c r="P29" s="27"/>
      <c r="Q29" s="32"/>
      <c r="R29" s="37"/>
      <c r="S29" s="42"/>
      <c r="T29" s="5"/>
      <c r="U29" s="22"/>
      <c r="V29" s="27"/>
      <c r="W29" s="32"/>
      <c r="X29" s="37"/>
      <c r="Y29" s="42"/>
      <c r="Z29" s="5"/>
      <c r="AA29" s="22"/>
      <c r="AB29" s="27"/>
      <c r="AC29" s="32"/>
      <c r="AD29" s="37"/>
      <c r="AE29" s="42"/>
      <c r="AF29" s="5"/>
    </row>
    <row r="30" spans="1:33" ht="18" customHeight="1" thickBot="1">
      <c r="A30" s="15">
        <f t="shared" si="0"/>
        <v>0.27083333333333331</v>
      </c>
      <c r="B30" s="3"/>
      <c r="C30" s="23"/>
      <c r="D30" s="28"/>
      <c r="E30" s="33"/>
      <c r="F30" s="38"/>
      <c r="G30" s="43"/>
      <c r="H30" s="6"/>
      <c r="I30" s="23"/>
      <c r="J30" s="28"/>
      <c r="K30" s="33"/>
      <c r="L30" s="38"/>
      <c r="M30" s="43"/>
      <c r="N30" s="6"/>
      <c r="O30" s="23"/>
      <c r="P30" s="28"/>
      <c r="Q30" s="33"/>
      <c r="R30" s="38"/>
      <c r="S30" s="43"/>
      <c r="T30" s="6"/>
      <c r="U30" s="23"/>
      <c r="V30" s="28"/>
      <c r="W30" s="33"/>
      <c r="X30" s="38"/>
      <c r="Y30" s="43"/>
      <c r="Z30" s="6"/>
      <c r="AA30" s="23"/>
      <c r="AB30" s="28"/>
      <c r="AC30" s="33"/>
      <c r="AD30" s="38"/>
      <c r="AE30" s="43"/>
      <c r="AF30" s="6"/>
    </row>
    <row r="31" spans="1:33" ht="32" customHeight="1" thickBot="1">
      <c r="A31" s="79" t="s">
        <v>17</v>
      </c>
      <c r="B31" s="94"/>
      <c r="C31" s="94"/>
      <c r="D31" s="94"/>
      <c r="E31" s="94"/>
      <c r="F31" s="94"/>
      <c r="G31" s="94"/>
      <c r="H31" s="94"/>
      <c r="I31" s="94"/>
      <c r="J31" s="94"/>
      <c r="K31" s="94"/>
      <c r="L31" s="94"/>
      <c r="M31" s="94"/>
      <c r="N31" s="94"/>
      <c r="O31" s="94"/>
      <c r="P31" s="969"/>
      <c r="Q31" s="970"/>
      <c r="R31" s="970"/>
      <c r="S31" s="970"/>
      <c r="T31" s="970"/>
      <c r="U31" s="970"/>
      <c r="V31" s="970"/>
      <c r="W31" s="970"/>
      <c r="X31" s="970"/>
      <c r="Y31" s="970"/>
      <c r="Z31" s="970"/>
      <c r="AA31" s="970"/>
      <c r="AB31" s="970"/>
      <c r="AC31" s="970"/>
      <c r="AD31" s="970"/>
      <c r="AE31" s="970"/>
      <c r="AF31" s="970"/>
      <c r="AG31" s="971"/>
    </row>
    <row r="32" spans="1:33">
      <c r="A32" s="959" t="s">
        <v>0</v>
      </c>
      <c r="B32" s="960"/>
      <c r="C32" s="961" t="str">
        <f>C2</f>
        <v>Mandag</v>
      </c>
      <c r="D32" s="962"/>
      <c r="E32" s="962"/>
      <c r="F32" s="962"/>
      <c r="G32" s="962"/>
      <c r="H32" s="960"/>
      <c r="I32" s="961" t="str">
        <f>I2</f>
        <v>Tirsdag</v>
      </c>
      <c r="J32" s="962"/>
      <c r="K32" s="962"/>
      <c r="L32" s="962"/>
      <c r="M32" s="962"/>
      <c r="N32" s="960"/>
      <c r="O32" s="961" t="str">
        <f>O2</f>
        <v>Onsdag</v>
      </c>
      <c r="P32" s="963"/>
      <c r="Q32" s="963"/>
      <c r="R32" s="963"/>
      <c r="S32" s="963"/>
      <c r="T32" s="964"/>
      <c r="U32" s="965" t="str">
        <f>U2</f>
        <v>Torsdag</v>
      </c>
      <c r="V32" s="963"/>
      <c r="W32" s="963"/>
      <c r="X32" s="963"/>
      <c r="Y32" s="963"/>
      <c r="Z32" s="964"/>
      <c r="AA32" s="965" t="str">
        <f>AA2</f>
        <v>Fredag</v>
      </c>
      <c r="AB32" s="963"/>
      <c r="AC32" s="963"/>
      <c r="AD32" s="963"/>
      <c r="AE32" s="963"/>
      <c r="AF32" s="964"/>
      <c r="AG32" s="45" t="s">
        <v>87</v>
      </c>
    </row>
    <row r="33" spans="1:33">
      <c r="A33" s="46" t="e">
        <f>'Stamdata Årsnorm'!#REF!</f>
        <v>#REF!</v>
      </c>
      <c r="B33" s="47"/>
      <c r="C33" s="48">
        <f>SUMIF(C$5:C$30,"k",$B$5:$B$30)*C4</f>
        <v>0</v>
      </c>
      <c r="D33" s="49"/>
      <c r="E33" s="49"/>
      <c r="F33" s="49"/>
      <c r="G33" s="49"/>
      <c r="H33" s="49"/>
      <c r="I33" s="48">
        <f>SUMIF(I$5:I$30,"k",$B$5:$B$30)*I4</f>
        <v>0</v>
      </c>
      <c r="J33" s="49"/>
      <c r="K33" s="49"/>
      <c r="L33" s="49"/>
      <c r="M33" s="49"/>
      <c r="N33" s="49"/>
      <c r="O33" s="48">
        <f>SUMIF(O$5:O$30,"k",$B$5:$B$30)*O4</f>
        <v>0</v>
      </c>
      <c r="P33" s="49"/>
      <c r="Q33" s="49"/>
      <c r="R33" s="49"/>
      <c r="S33" s="49"/>
      <c r="T33" s="49"/>
      <c r="U33" s="48">
        <f>SUMIF(U$5:U$30,"k",$B$5:$B$30)*U4</f>
        <v>0</v>
      </c>
      <c r="V33" s="49"/>
      <c r="W33" s="49"/>
      <c r="X33" s="49"/>
      <c r="Y33" s="49"/>
      <c r="Z33" s="49"/>
      <c r="AA33" s="48">
        <f>SUMIF(AA$5:AA$30,"k",$B$5:$B$30)*AA4</f>
        <v>0</v>
      </c>
      <c r="AB33" s="49"/>
      <c r="AC33" s="49"/>
      <c r="AD33" s="49"/>
      <c r="AE33" s="49"/>
      <c r="AF33" s="49"/>
      <c r="AG33" s="50">
        <f t="shared" ref="AG33:AG38" si="1">SUM(C33:AF33)/60</f>
        <v>0</v>
      </c>
    </row>
    <row r="34" spans="1:33">
      <c r="A34" s="51" t="e">
        <f>'Stamdata Årsnorm'!#REF!</f>
        <v>#REF!</v>
      </c>
      <c r="B34" s="47"/>
      <c r="C34" s="52"/>
      <c r="D34" s="53">
        <f>SUMIF(D$5:D$30,"k",$B$5:$B$30)*D4</f>
        <v>0</v>
      </c>
      <c r="E34" s="54"/>
      <c r="F34" s="55"/>
      <c r="G34" s="55"/>
      <c r="H34" s="55"/>
      <c r="I34" s="52"/>
      <c r="J34" s="53">
        <f>SUMIF(J$5:J$30,"k",$B$5:$B$30)*J4</f>
        <v>0</v>
      </c>
      <c r="K34" s="54"/>
      <c r="L34" s="55"/>
      <c r="M34" s="55"/>
      <c r="N34" s="55"/>
      <c r="O34" s="52"/>
      <c r="P34" s="53">
        <f>SUMIF(P$5:P$30,"k",$B$5:$B$30)*P4</f>
        <v>0</v>
      </c>
      <c r="Q34" s="54"/>
      <c r="R34" s="55"/>
      <c r="S34" s="55"/>
      <c r="T34" s="55"/>
      <c r="U34" s="52"/>
      <c r="V34" s="53">
        <f>SUMIF(V$5:V$30,"k",$B$5:$B$30)*V4</f>
        <v>0</v>
      </c>
      <c r="W34" s="54"/>
      <c r="X34" s="55"/>
      <c r="Y34" s="55"/>
      <c r="Z34" s="55"/>
      <c r="AA34" s="52"/>
      <c r="AB34" s="53">
        <f>SUMIF(AB$5:AB$30,"k",$B$5:$B$30)*AB4</f>
        <v>0</v>
      </c>
      <c r="AC34" s="54"/>
      <c r="AD34" s="55"/>
      <c r="AE34" s="55"/>
      <c r="AF34" s="55"/>
      <c r="AG34" s="56">
        <f t="shared" si="1"/>
        <v>0</v>
      </c>
    </row>
    <row r="35" spans="1:33">
      <c r="A35" s="57" t="e">
        <f>'Stamdata Årsnorm'!#REF!</f>
        <v>#REF!</v>
      </c>
      <c r="B35" s="47"/>
      <c r="C35" s="58"/>
      <c r="D35" s="59"/>
      <c r="E35" s="59">
        <f>SUMIF(E$5:E$30,"k",$B$5:$B$30)*E4</f>
        <v>0</v>
      </c>
      <c r="F35" s="59"/>
      <c r="G35" s="59"/>
      <c r="H35" s="59"/>
      <c r="I35" s="58"/>
      <c r="J35" s="59"/>
      <c r="K35" s="59">
        <f>SUMIF(K$5:K$30,"k",$B$5:$B$30)*K4</f>
        <v>0</v>
      </c>
      <c r="L35" s="59"/>
      <c r="M35" s="59"/>
      <c r="N35" s="59"/>
      <c r="O35" s="58"/>
      <c r="P35" s="59"/>
      <c r="Q35" s="59">
        <f>SUMIF(Q$5:Q$30,"k",$B$5:$B$30)*Q4</f>
        <v>0</v>
      </c>
      <c r="R35" s="59"/>
      <c r="S35" s="59"/>
      <c r="T35" s="59"/>
      <c r="U35" s="58"/>
      <c r="V35" s="59"/>
      <c r="W35" s="59">
        <f>SUMIF(W$5:W$30,"k",$B$5:$B$30)*W4</f>
        <v>0</v>
      </c>
      <c r="X35" s="59"/>
      <c r="Y35" s="59"/>
      <c r="Z35" s="59"/>
      <c r="AA35" s="58"/>
      <c r="AB35" s="59"/>
      <c r="AC35" s="59">
        <f>SUMIF(AC$5:AC$30,"k",$B$5:$B$30)*AC4</f>
        <v>0</v>
      </c>
      <c r="AD35" s="59"/>
      <c r="AE35" s="59"/>
      <c r="AF35" s="59"/>
      <c r="AG35" s="60">
        <f t="shared" si="1"/>
        <v>0</v>
      </c>
    </row>
    <row r="36" spans="1:33" s="16" customFormat="1">
      <c r="A36" s="61" t="e">
        <f>'Stamdata Årsnorm'!#REF!</f>
        <v>#REF!</v>
      </c>
      <c r="B36" s="62"/>
      <c r="C36" s="63"/>
      <c r="D36" s="64"/>
      <c r="E36" s="64"/>
      <c r="F36" s="64">
        <f>SUMIF(F$5:F$30,"k",$B$5:$B$30)*F4</f>
        <v>0</v>
      </c>
      <c r="G36" s="64"/>
      <c r="H36" s="64"/>
      <c r="I36" s="63"/>
      <c r="J36" s="64"/>
      <c r="K36" s="64"/>
      <c r="L36" s="64">
        <f>SUMIF(L$5:L$30,"k",$B$5:$B$30)*L4</f>
        <v>0</v>
      </c>
      <c r="M36" s="64"/>
      <c r="N36" s="64"/>
      <c r="O36" s="63"/>
      <c r="P36" s="64"/>
      <c r="Q36" s="64"/>
      <c r="R36" s="64">
        <f>SUMIF(R$5:R$30,"k",$B$5:$B$30)*R4</f>
        <v>0</v>
      </c>
      <c r="S36" s="64"/>
      <c r="T36" s="64"/>
      <c r="U36" s="63"/>
      <c r="V36" s="64"/>
      <c r="W36" s="64"/>
      <c r="X36" s="64">
        <f>SUMIF(X$5:X$30,"k",$B$5:$B$30)*X4</f>
        <v>0</v>
      </c>
      <c r="Y36" s="64"/>
      <c r="Z36" s="64"/>
      <c r="AA36" s="63"/>
      <c r="AB36" s="64"/>
      <c r="AC36" s="64"/>
      <c r="AD36" s="64">
        <f>SUMIF(AD$5:AD$30,"k",$B$5:$B$30)*AD4</f>
        <v>0</v>
      </c>
      <c r="AE36" s="64"/>
      <c r="AF36" s="64"/>
      <c r="AG36" s="65">
        <f t="shared" si="1"/>
        <v>0</v>
      </c>
    </row>
    <row r="37" spans="1:33">
      <c r="A37" s="66" t="e">
        <f>'Stamdata Årsnorm'!#REF!</f>
        <v>#REF!</v>
      </c>
      <c r="B37" s="47"/>
      <c r="C37" s="67"/>
      <c r="D37" s="68"/>
      <c r="E37" s="68"/>
      <c r="F37" s="68"/>
      <c r="G37" s="68">
        <f>SUMIF(G$5:G$30,"k",$B$5:$B$30)*G4</f>
        <v>0</v>
      </c>
      <c r="H37" s="68"/>
      <c r="I37" s="67"/>
      <c r="J37" s="68"/>
      <c r="K37" s="68"/>
      <c r="L37" s="68"/>
      <c r="M37" s="68">
        <f>SUMIF(M$5:M$30,"k",$B$5:$B$30)*M4</f>
        <v>0</v>
      </c>
      <c r="N37" s="68"/>
      <c r="O37" s="67"/>
      <c r="P37" s="68"/>
      <c r="Q37" s="68"/>
      <c r="R37" s="68"/>
      <c r="S37" s="68">
        <f>SUMIF(S$5:S$30,"k",$B$5:$B$30)*S4</f>
        <v>0</v>
      </c>
      <c r="T37" s="68"/>
      <c r="U37" s="67"/>
      <c r="V37" s="68"/>
      <c r="W37" s="68"/>
      <c r="X37" s="68"/>
      <c r="Y37" s="68">
        <f>SUMIF(Y$5:Y$30,"k",$B$5:$B$30)*Y4</f>
        <v>0</v>
      </c>
      <c r="Z37" s="68"/>
      <c r="AA37" s="67"/>
      <c r="AB37" s="68"/>
      <c r="AC37" s="68"/>
      <c r="AD37" s="68"/>
      <c r="AE37" s="68">
        <f>SUMIF(AE$5:AE$30,"k",$B$5:$B$30)*AE4</f>
        <v>0</v>
      </c>
      <c r="AF37" s="68"/>
      <c r="AG37" s="69">
        <f t="shared" si="1"/>
        <v>0</v>
      </c>
    </row>
    <row r="38" spans="1:33">
      <c r="A38" s="70" t="e">
        <f>'Stamdata Årsnorm'!#REF!</f>
        <v>#REF!</v>
      </c>
      <c r="B38" s="47"/>
      <c r="C38" s="71"/>
      <c r="D38" s="72"/>
      <c r="E38" s="72"/>
      <c r="F38" s="72"/>
      <c r="G38" s="72"/>
      <c r="H38" s="72">
        <f>SUMIF(H$5:H$30,"k",$B$5:$B$30)*H4</f>
        <v>0</v>
      </c>
      <c r="I38" s="71"/>
      <c r="J38" s="72"/>
      <c r="K38" s="72"/>
      <c r="L38" s="72"/>
      <c r="M38" s="72"/>
      <c r="N38" s="72">
        <f>SUMIF(N$5:N$30,"k",$B$5:$B$30)*N4</f>
        <v>0</v>
      </c>
      <c r="O38" s="71"/>
      <c r="P38" s="72"/>
      <c r="Q38" s="72"/>
      <c r="R38" s="72"/>
      <c r="S38" s="72"/>
      <c r="T38" s="72">
        <f>SUMIF(T$5:T$30,"k",$B$5:$B$30)*T4</f>
        <v>0</v>
      </c>
      <c r="U38" s="71"/>
      <c r="V38" s="72"/>
      <c r="W38" s="72"/>
      <c r="X38" s="72"/>
      <c r="Y38" s="72"/>
      <c r="Z38" s="72">
        <f>SUMIF(Z$5:Z$30,"k",$B$5:$B$30)*Z4</f>
        <v>0</v>
      </c>
      <c r="AA38" s="71"/>
      <c r="AB38" s="72"/>
      <c r="AC38" s="72"/>
      <c r="AD38" s="72"/>
      <c r="AE38" s="72"/>
      <c r="AF38" s="72">
        <f>SUMIF(AF$5:AF$30,"k",$B$5:$B$30)*AF4</f>
        <v>0</v>
      </c>
      <c r="AG38" s="73">
        <f t="shared" si="1"/>
        <v>0</v>
      </c>
    </row>
    <row r="39" spans="1:33" ht="17" thickBot="1">
      <c r="A39" s="74" t="s">
        <v>9</v>
      </c>
      <c r="B39" s="74"/>
      <c r="C39" s="75"/>
      <c r="D39" s="76"/>
      <c r="E39" s="76"/>
      <c r="F39" s="76"/>
      <c r="G39" s="76"/>
      <c r="H39" s="76">
        <f>SUM(C33:H38)</f>
        <v>0</v>
      </c>
      <c r="I39" s="75"/>
      <c r="J39" s="76"/>
      <c r="K39" s="76"/>
      <c r="L39" s="76"/>
      <c r="M39" s="76"/>
      <c r="N39" s="76">
        <f>SUM(I33:N38)</f>
        <v>0</v>
      </c>
      <c r="O39" s="75"/>
      <c r="P39" s="76"/>
      <c r="Q39" s="76"/>
      <c r="R39" s="76"/>
      <c r="S39" s="76"/>
      <c r="T39" s="76">
        <f>SUM(O33:T38)</f>
        <v>0</v>
      </c>
      <c r="U39" s="75"/>
      <c r="V39" s="76"/>
      <c r="W39" s="76"/>
      <c r="X39" s="76"/>
      <c r="Y39" s="76"/>
      <c r="Z39" s="76">
        <f>SUM(U33:Z38)</f>
        <v>0</v>
      </c>
      <c r="AA39" s="75"/>
      <c r="AB39" s="76"/>
      <c r="AC39" s="76"/>
      <c r="AD39" s="76"/>
      <c r="AE39" s="76"/>
      <c r="AF39" s="76">
        <f>SUM(AA33:AF38)</f>
        <v>0</v>
      </c>
      <c r="AG39" s="77">
        <f>SUM(AG33:AG38)</f>
        <v>0</v>
      </c>
    </row>
    <row r="40" spans="1:33" ht="8" customHeight="1" thickTop="1">
      <c r="A40" s="47"/>
      <c r="B40" s="47"/>
      <c r="C40" s="62"/>
      <c r="D40" s="47"/>
      <c r="E40" s="47"/>
      <c r="F40" s="47"/>
      <c r="G40" s="47"/>
      <c r="H40" s="47"/>
      <c r="I40" s="62"/>
      <c r="J40" s="47"/>
      <c r="K40" s="47"/>
      <c r="L40" s="47"/>
      <c r="M40" s="47"/>
      <c r="N40" s="47"/>
      <c r="O40" s="62"/>
      <c r="P40" s="47"/>
      <c r="Q40" s="47"/>
      <c r="R40" s="47"/>
      <c r="S40" s="47"/>
      <c r="T40" s="47"/>
      <c r="U40" s="62"/>
      <c r="V40" s="47"/>
      <c r="W40" s="47"/>
      <c r="X40" s="47"/>
      <c r="Y40" s="47"/>
      <c r="Z40" s="47"/>
      <c r="AA40" s="62"/>
      <c r="AB40" s="47"/>
      <c r="AC40" s="47"/>
      <c r="AD40" s="47"/>
      <c r="AE40" s="47"/>
      <c r="AF40" s="47"/>
      <c r="AG40" s="47"/>
    </row>
    <row r="41" spans="1:33" ht="50" customHeight="1">
      <c r="A41" s="959" t="s">
        <v>85</v>
      </c>
      <c r="B41" s="960"/>
      <c r="C41" s="961" t="str">
        <f>C2</f>
        <v>Mandag</v>
      </c>
      <c r="D41" s="962"/>
      <c r="E41" s="962"/>
      <c r="F41" s="962"/>
      <c r="G41" s="962"/>
      <c r="H41" s="960"/>
      <c r="I41" s="961" t="str">
        <f>I2</f>
        <v>Tirsdag</v>
      </c>
      <c r="J41" s="962"/>
      <c r="K41" s="962"/>
      <c r="L41" s="962"/>
      <c r="M41" s="962"/>
      <c r="N41" s="960"/>
      <c r="O41" s="961" t="str">
        <f>O2</f>
        <v>Onsdag</v>
      </c>
      <c r="P41" s="962"/>
      <c r="Q41" s="962"/>
      <c r="R41" s="962"/>
      <c r="S41" s="962"/>
      <c r="T41" s="960"/>
      <c r="U41" s="961" t="str">
        <f>U2</f>
        <v>Torsdag</v>
      </c>
      <c r="V41" s="962"/>
      <c r="W41" s="962"/>
      <c r="X41" s="962"/>
      <c r="Y41" s="962"/>
      <c r="Z41" s="960"/>
      <c r="AA41" s="961" t="str">
        <f>AA2</f>
        <v>Fredag</v>
      </c>
      <c r="AB41" s="962"/>
      <c r="AC41" s="962"/>
      <c r="AD41" s="962"/>
      <c r="AE41" s="962"/>
      <c r="AF41" s="960"/>
      <c r="AG41" s="45" t="s">
        <v>87</v>
      </c>
    </row>
    <row r="42" spans="1:33">
      <c r="A42" s="46" t="e">
        <f t="shared" ref="A42:A47" si="2">+A33</f>
        <v>#REF!</v>
      </c>
      <c r="B42" s="47"/>
      <c r="C42" s="48">
        <f>SUMIF(C$5:C$30,"a",$B$5:$B$30)*C4</f>
        <v>0</v>
      </c>
      <c r="D42" s="49"/>
      <c r="E42" s="49"/>
      <c r="F42" s="49"/>
      <c r="G42" s="49"/>
      <c r="H42" s="49"/>
      <c r="I42" s="48">
        <f>SUMIF(I$5:I$30,"a",$B$5:$B$30)*I4</f>
        <v>0</v>
      </c>
      <c r="J42" s="49"/>
      <c r="K42" s="49"/>
      <c r="L42" s="49"/>
      <c r="M42" s="49"/>
      <c r="N42" s="49"/>
      <c r="O42" s="48">
        <f>SUMIF(O$5:O$30,"a",$B$5:$B$30)*O4</f>
        <v>0</v>
      </c>
      <c r="P42" s="49"/>
      <c r="Q42" s="49"/>
      <c r="R42" s="49"/>
      <c r="S42" s="49"/>
      <c r="T42" s="49"/>
      <c r="U42" s="48">
        <f>SUMIF(U$5:U$30,"a",$B$5:$B$30)*U4</f>
        <v>0</v>
      </c>
      <c r="V42" s="49"/>
      <c r="W42" s="49"/>
      <c r="X42" s="49"/>
      <c r="Y42" s="49"/>
      <c r="Z42" s="49"/>
      <c r="AA42" s="48">
        <f>SUMIF(AA$5:AA$30,"a",$B$5:$B$30)*AA4</f>
        <v>0</v>
      </c>
      <c r="AB42" s="49"/>
      <c r="AC42" s="49"/>
      <c r="AD42" s="49"/>
      <c r="AE42" s="49"/>
      <c r="AF42" s="49"/>
      <c r="AG42" s="50">
        <f t="shared" ref="AG42:AG47" si="3">SUM(C42:AF42)/60</f>
        <v>0</v>
      </c>
    </row>
    <row r="43" spans="1:33">
      <c r="A43" s="51" t="e">
        <f t="shared" si="2"/>
        <v>#REF!</v>
      </c>
      <c r="B43" s="47"/>
      <c r="C43" s="78"/>
      <c r="D43" s="55">
        <f>SUMIF(D$5:D$30,"a",$B$5:$B$30)*D4</f>
        <v>0</v>
      </c>
      <c r="E43" s="55"/>
      <c r="F43" s="55"/>
      <c r="G43" s="55"/>
      <c r="H43" s="55"/>
      <c r="I43" s="78"/>
      <c r="J43" s="55">
        <f>SUMIF(J$5:J$30,"a",$B$5:$B$30)*J4</f>
        <v>0</v>
      </c>
      <c r="K43" s="55"/>
      <c r="L43" s="55"/>
      <c r="M43" s="55"/>
      <c r="N43" s="55"/>
      <c r="O43" s="78"/>
      <c r="P43" s="55">
        <f>SUMIF(P$5:P$30,"a",$B$5:$B$30)*P4</f>
        <v>0</v>
      </c>
      <c r="Q43" s="55"/>
      <c r="R43" s="55"/>
      <c r="S43" s="55"/>
      <c r="T43" s="55"/>
      <c r="U43" s="78"/>
      <c r="V43" s="55">
        <f>SUMIF(V$5:V$30,"a",$B$5:$B$30)*V4</f>
        <v>0</v>
      </c>
      <c r="W43" s="55"/>
      <c r="X43" s="55"/>
      <c r="Y43" s="55"/>
      <c r="Z43" s="55"/>
      <c r="AA43" s="78"/>
      <c r="AB43" s="55">
        <f>SUMIF(AB$5:AB$30,"a",$B$5:$B$30)*AB4</f>
        <v>0</v>
      </c>
      <c r="AC43" s="55"/>
      <c r="AD43" s="55"/>
      <c r="AE43" s="55"/>
      <c r="AF43" s="55"/>
      <c r="AG43" s="56">
        <f t="shared" si="3"/>
        <v>0</v>
      </c>
    </row>
    <row r="44" spans="1:33">
      <c r="A44" s="57" t="e">
        <f t="shared" si="2"/>
        <v>#REF!</v>
      </c>
      <c r="B44" s="47"/>
      <c r="C44" s="58"/>
      <c r="D44" s="59"/>
      <c r="E44" s="59">
        <f>SUMIF(E$5:E$30,"a",$B$5:$B$30)*E4</f>
        <v>0</v>
      </c>
      <c r="F44" s="59"/>
      <c r="G44" s="59"/>
      <c r="H44" s="59"/>
      <c r="I44" s="58"/>
      <c r="J44" s="59"/>
      <c r="K44" s="59">
        <f>SUMIF(K$5:K$30,"a",$B$5:$B$30)*K4</f>
        <v>0</v>
      </c>
      <c r="L44" s="59"/>
      <c r="M44" s="59"/>
      <c r="N44" s="59"/>
      <c r="O44" s="58"/>
      <c r="P44" s="59"/>
      <c r="Q44" s="59">
        <f>SUMIF(Q$5:Q$30,"a",$B$5:$B$30)*Q4</f>
        <v>0</v>
      </c>
      <c r="R44" s="59"/>
      <c r="S44" s="59"/>
      <c r="T44" s="59"/>
      <c r="U44" s="58"/>
      <c r="V44" s="59"/>
      <c r="W44" s="59">
        <f>SUMIF(W$5:W$30,"a",$B$5:$B$30)*W4</f>
        <v>0</v>
      </c>
      <c r="X44" s="59"/>
      <c r="Y44" s="59"/>
      <c r="Z44" s="59"/>
      <c r="AA44" s="58"/>
      <c r="AB44" s="59"/>
      <c r="AC44" s="59">
        <f>SUMIF(AC$5:AC$30,"a",$B$5:$B$30)*AC4</f>
        <v>0</v>
      </c>
      <c r="AD44" s="59"/>
      <c r="AE44" s="59"/>
      <c r="AF44" s="59"/>
      <c r="AG44" s="60">
        <f t="shared" si="3"/>
        <v>0</v>
      </c>
    </row>
    <row r="45" spans="1:33">
      <c r="A45" s="61" t="e">
        <f t="shared" si="2"/>
        <v>#REF!</v>
      </c>
      <c r="B45" s="62"/>
      <c r="C45" s="63"/>
      <c r="D45" s="64"/>
      <c r="E45" s="64"/>
      <c r="F45" s="64">
        <f>SUMIF(F$5:F$30,"a",$B$5:$B$30)*F4</f>
        <v>0</v>
      </c>
      <c r="G45" s="64"/>
      <c r="H45" s="64"/>
      <c r="I45" s="63"/>
      <c r="J45" s="64"/>
      <c r="K45" s="64"/>
      <c r="L45" s="64">
        <f>SUMIF(L$5:L$30,"a",$B$5:$B$30)*L4</f>
        <v>0</v>
      </c>
      <c r="M45" s="64"/>
      <c r="N45" s="64"/>
      <c r="O45" s="63"/>
      <c r="P45" s="64"/>
      <c r="Q45" s="64"/>
      <c r="R45" s="64">
        <f>SUMIF(R$5:R$30,"a",$B$5:$B$30)*R4</f>
        <v>0</v>
      </c>
      <c r="S45" s="64"/>
      <c r="T45" s="64"/>
      <c r="U45" s="63"/>
      <c r="V45" s="64"/>
      <c r="W45" s="64"/>
      <c r="X45" s="64">
        <f>SUMIF(X$5:X$30,"a",$B$5:$B$30)*X4</f>
        <v>0</v>
      </c>
      <c r="Y45" s="64"/>
      <c r="Z45" s="64"/>
      <c r="AA45" s="63"/>
      <c r="AB45" s="64"/>
      <c r="AC45" s="64"/>
      <c r="AD45" s="64">
        <f>SUMIF(AD$5:AD$30,"a",$B$5:$B$30)*AD4</f>
        <v>0</v>
      </c>
      <c r="AE45" s="64"/>
      <c r="AF45" s="64"/>
      <c r="AG45" s="65">
        <f t="shared" si="3"/>
        <v>0</v>
      </c>
    </row>
    <row r="46" spans="1:33">
      <c r="A46" s="66" t="e">
        <f t="shared" si="2"/>
        <v>#REF!</v>
      </c>
      <c r="B46" s="47"/>
      <c r="C46" s="67"/>
      <c r="D46" s="68"/>
      <c r="E46" s="68"/>
      <c r="F46" s="68"/>
      <c r="G46" s="68">
        <f>SUMIF(G$5:G$30,"a",$B$5:$B$30)*G4</f>
        <v>0</v>
      </c>
      <c r="H46" s="68"/>
      <c r="I46" s="67"/>
      <c r="J46" s="68"/>
      <c r="K46" s="68"/>
      <c r="L46" s="68"/>
      <c r="M46" s="68">
        <f>SUMIF(M$5:M$30,"a",$B$5:$B$30)*M4</f>
        <v>0</v>
      </c>
      <c r="N46" s="68"/>
      <c r="O46" s="67"/>
      <c r="P46" s="68"/>
      <c r="Q46" s="68"/>
      <c r="R46" s="68"/>
      <c r="S46" s="68">
        <f>SUMIF(S$5:S$30,"a",$B$5:$B$30)*S4</f>
        <v>0</v>
      </c>
      <c r="T46" s="68"/>
      <c r="U46" s="67"/>
      <c r="V46" s="68"/>
      <c r="W46" s="68"/>
      <c r="X46" s="68"/>
      <c r="Y46" s="68">
        <f>SUMIF(Y$5:Y$30,"a",$B$5:$B$30)*Y4</f>
        <v>0</v>
      </c>
      <c r="Z46" s="68"/>
      <c r="AA46" s="67"/>
      <c r="AB46" s="68"/>
      <c r="AC46" s="68"/>
      <c r="AD46" s="68"/>
      <c r="AE46" s="68">
        <f>SUMIF(AE$5:AE$30,"a",$B$5:$B$30)*AE4</f>
        <v>0</v>
      </c>
      <c r="AF46" s="68"/>
      <c r="AG46" s="69">
        <f t="shared" si="3"/>
        <v>0</v>
      </c>
    </row>
    <row r="47" spans="1:33">
      <c r="A47" s="70" t="e">
        <f t="shared" si="2"/>
        <v>#REF!</v>
      </c>
      <c r="B47" s="47"/>
      <c r="C47" s="71"/>
      <c r="D47" s="72"/>
      <c r="E47" s="72"/>
      <c r="F47" s="72"/>
      <c r="G47" s="72"/>
      <c r="H47" s="72">
        <f>SUMIF(H$5:H$30,"a",$B$5:$B$30)*H4</f>
        <v>0</v>
      </c>
      <c r="I47" s="71"/>
      <c r="J47" s="72"/>
      <c r="K47" s="72"/>
      <c r="L47" s="72"/>
      <c r="M47" s="72"/>
      <c r="N47" s="72">
        <f>SUMIF(N$5:N$30,"a",$B$5:$B$30)*N4</f>
        <v>0</v>
      </c>
      <c r="O47" s="71"/>
      <c r="P47" s="72"/>
      <c r="Q47" s="72"/>
      <c r="R47" s="72"/>
      <c r="S47" s="72"/>
      <c r="T47" s="72">
        <f>SUMIF(T$5:T$30,"a",$B$5:$B$30)*T4</f>
        <v>0</v>
      </c>
      <c r="U47" s="71"/>
      <c r="V47" s="72"/>
      <c r="W47" s="72"/>
      <c r="X47" s="72"/>
      <c r="Y47" s="72"/>
      <c r="Z47" s="72">
        <f>SUMIF(Z$5:Z$30,"a",$B$5:$B$30)*Z4</f>
        <v>0</v>
      </c>
      <c r="AA47" s="71"/>
      <c r="AB47" s="72"/>
      <c r="AC47" s="72"/>
      <c r="AD47" s="72"/>
      <c r="AE47" s="72"/>
      <c r="AF47" s="72">
        <f>SUMIF(AF$5:AF$30,"a",$B$5:$B$30)*AF4</f>
        <v>0</v>
      </c>
      <c r="AG47" s="73">
        <f t="shared" si="3"/>
        <v>0</v>
      </c>
    </row>
    <row r="48" spans="1:33" ht="17" thickBot="1">
      <c r="A48" s="74" t="s">
        <v>9</v>
      </c>
      <c r="B48" s="74"/>
      <c r="C48" s="75"/>
      <c r="D48" s="76"/>
      <c r="E48" s="76"/>
      <c r="F48" s="76"/>
      <c r="G48" s="76"/>
      <c r="H48" s="76">
        <f>SUM(C42:H47)</f>
        <v>0</v>
      </c>
      <c r="I48" s="75"/>
      <c r="J48" s="76"/>
      <c r="K48" s="76"/>
      <c r="L48" s="76"/>
      <c r="M48" s="76"/>
      <c r="N48" s="76">
        <f>SUM(I42:N47)</f>
        <v>0</v>
      </c>
      <c r="O48" s="75"/>
      <c r="P48" s="76"/>
      <c r="Q48" s="76"/>
      <c r="R48" s="76"/>
      <c r="S48" s="76"/>
      <c r="T48" s="76">
        <f>SUM(O42:T47)</f>
        <v>0</v>
      </c>
      <c r="U48" s="75"/>
      <c r="V48" s="76"/>
      <c r="W48" s="76"/>
      <c r="X48" s="76"/>
      <c r="Y48" s="76"/>
      <c r="Z48" s="76">
        <f>SUM(U42:Z47)</f>
        <v>0</v>
      </c>
      <c r="AA48" s="75"/>
      <c r="AB48" s="76"/>
      <c r="AC48" s="76"/>
      <c r="AD48" s="76"/>
      <c r="AE48" s="76"/>
      <c r="AF48" s="76">
        <f>SUM(AA42:AF47)</f>
        <v>0</v>
      </c>
      <c r="AG48" s="77">
        <f>SUM(AG42:AG47)</f>
        <v>0</v>
      </c>
    </row>
    <row r="49" ht="17" thickTop="1"/>
  </sheetData>
  <sheetProtection sheet="1" objects="1" scenarios="1"/>
  <mergeCells count="21">
    <mergeCell ref="A4:B4"/>
    <mergeCell ref="A1:A2"/>
    <mergeCell ref="B1:B2"/>
    <mergeCell ref="C2:H2"/>
    <mergeCell ref="I2:N2"/>
    <mergeCell ref="O2:T2"/>
    <mergeCell ref="U2:Z2"/>
    <mergeCell ref="AA2:AF2"/>
    <mergeCell ref="AA41:AF41"/>
    <mergeCell ref="P31:AG31"/>
    <mergeCell ref="AA32:AF32"/>
    <mergeCell ref="A32:B32"/>
    <mergeCell ref="C32:H32"/>
    <mergeCell ref="I32:N32"/>
    <mergeCell ref="O32:T32"/>
    <mergeCell ref="U32:Z32"/>
    <mergeCell ref="A41:B41"/>
    <mergeCell ref="C41:H41"/>
    <mergeCell ref="I41:N41"/>
    <mergeCell ref="O41:T41"/>
    <mergeCell ref="U41:Z41"/>
  </mergeCells>
  <printOptions horizontalCentered="1"/>
  <pageMargins left="0.15748031496062992" right="0.15748031496062992" top="1.1811023622047245" bottom="0.39370078740157483" header="0.51181102362204722" footer="0.51181102362204722"/>
  <pageSetup paperSize="9" scale="61" orientation="landscape" horizontalDpi="4294967292" verticalDpi="4294967292"/>
  <headerFooter>
    <oddFooter>&amp;RUdskrevet den &amp;D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17</vt:i4>
      </vt:variant>
      <vt:variant>
        <vt:lpstr>Navngivne områder</vt:lpstr>
      </vt:variant>
      <vt:variant>
        <vt:i4>25</vt:i4>
      </vt:variant>
    </vt:vector>
  </HeadingPairs>
  <TitlesOfParts>
    <vt:vector size="42" baseType="lpstr">
      <vt:lpstr>Vejledning</vt:lpstr>
      <vt:lpstr>Maaned</vt:lpstr>
      <vt:lpstr>Aar</vt:lpstr>
      <vt:lpstr>1.halvaar</vt:lpstr>
      <vt:lpstr>2.halvaar</vt:lpstr>
      <vt:lpstr>Stamdata Årsnorm</vt:lpstr>
      <vt:lpstr>Faste arbejdsopgaver</vt:lpstr>
      <vt:lpstr>Samling</vt:lpstr>
      <vt:lpstr>Pasning 2</vt:lpstr>
      <vt:lpstr>Særlige uge 1</vt:lpstr>
      <vt:lpstr>Særlig uge 2</vt:lpstr>
      <vt:lpstr>Særlig uge 3</vt:lpstr>
      <vt:lpstr>Særlig uge 4</vt:lpstr>
      <vt:lpstr>Koloni</vt:lpstr>
      <vt:lpstr>TOMT ÅR</vt:lpstr>
      <vt:lpstr>TOMT 1. HALVÅR</vt:lpstr>
      <vt:lpstr>TOMT 2. HALVÅR</vt:lpstr>
      <vt:lpstr>Maaned!april</vt:lpstr>
      <vt:lpstr>Maaned!august</vt:lpstr>
      <vt:lpstr>Maaned!december</vt:lpstr>
      <vt:lpstr>Maaned!februar</vt:lpstr>
      <vt:lpstr>Maaned!januar</vt:lpstr>
      <vt:lpstr>Maaned!juli</vt:lpstr>
      <vt:lpstr>Maaned!juni</vt:lpstr>
      <vt:lpstr>Maaned!maj</vt:lpstr>
      <vt:lpstr>Maaned!marts</vt:lpstr>
      <vt:lpstr>Maaned!november</vt:lpstr>
      <vt:lpstr>Maaned!oktober</vt:lpstr>
      <vt:lpstr>Maaned!september</vt:lpstr>
      <vt:lpstr>'1.halvaar'!Udskriftsområde</vt:lpstr>
      <vt:lpstr>'2.halvaar'!Udskriftsområde</vt:lpstr>
      <vt:lpstr>'Faste arbejdsopgaver'!Udskriftsområde</vt:lpstr>
      <vt:lpstr>Koloni!Udskriftsområde</vt:lpstr>
      <vt:lpstr>Maaned!Udskriftsområde</vt:lpstr>
      <vt:lpstr>'Pasning 2'!Udskriftsområde</vt:lpstr>
      <vt:lpstr>Samling!Udskriftsområde</vt:lpstr>
      <vt:lpstr>'Stamdata Årsnorm'!Udskriftsområde</vt:lpstr>
      <vt:lpstr>'Særlig uge 2'!Udskriftsområde</vt:lpstr>
      <vt:lpstr>'Særlig uge 3'!Udskriftsområde</vt:lpstr>
      <vt:lpstr>'Særlig uge 4'!Udskriftsområde</vt:lpstr>
      <vt:lpstr>'Særlige uge 1'!Udskriftsområde</vt:lpstr>
      <vt:lpstr>Aar!Udskriftsområde</vt:lpstr>
    </vt:vector>
  </TitlesOfParts>
  <Company>Dansk Friskoleforening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dc:creator>
  <cp:lastModifiedBy>Tove Dohn</cp:lastModifiedBy>
  <cp:lastPrinted>2018-04-30T10:43:17Z</cp:lastPrinted>
  <dcterms:created xsi:type="dcterms:W3CDTF">2001-07-04T15:01:17Z</dcterms:created>
  <dcterms:modified xsi:type="dcterms:W3CDTF">2022-05-09T15:03:16Z</dcterms:modified>
</cp:coreProperties>
</file>